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7"/>
  <workbookPr/>
  <mc:AlternateContent xmlns:mc="http://schemas.openxmlformats.org/markup-compatibility/2006">
    <mc:Choice Requires="x15">
      <x15ac:absPath xmlns:x15ac="http://schemas.microsoft.com/office/spreadsheetml/2010/11/ac" url="https://mypac-my.sharepoint.com/personal/shay_tsaban_pac_org_il/Documents/OpenU 10708/2025 B/"/>
    </mc:Choice>
  </mc:AlternateContent>
  <xr:revisionPtr revIDLastSave="751" documentId="13_ncr:1_{82B2ADB4-6C80-EA4C-B256-25A5AE00402A}" xr6:coauthVersionLast="47" xr6:coauthVersionMax="47" xr10:uidLastSave="{C476D4B7-0D09-8C45-83F0-7045083724F8}"/>
  <bookViews>
    <workbookView xWindow="25600" yWindow="0" windowWidth="38400" windowHeight="21600" activeTab="4" xr2:uid="{00000000-000D-0000-FFFF-FFFF00000000}"/>
  </bookViews>
  <sheets>
    <sheet name="1" sheetId="1" r:id="rId1"/>
    <sheet name="2" sheetId="3" r:id="rId2"/>
    <sheet name="2ב" sheetId="4" r:id="rId3"/>
    <sheet name="3" sheetId="5" r:id="rId4"/>
    <sheet name="4" sheetId="8" r:id="rId5"/>
    <sheet name="6" sheetId="6" r:id="rId6"/>
    <sheet name="7" sheetId="7"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96" i="8" l="1"/>
  <c r="D286" i="8"/>
  <c r="D285" i="8"/>
  <c r="D278" i="8"/>
  <c r="X194" i="8"/>
  <c r="X183" i="8"/>
  <c r="X178" i="8"/>
  <c r="R197" i="8"/>
  <c r="P196" i="8"/>
  <c r="X203" i="8" s="1"/>
  <c r="R196" i="8"/>
  <c r="L236" i="8"/>
  <c r="N236" i="8" s="1"/>
  <c r="L235" i="8"/>
  <c r="O235" i="8" s="1"/>
  <c r="T235" i="8"/>
  <c r="O183" i="8"/>
  <c r="X195" i="8" s="1"/>
  <c r="N183" i="8"/>
  <c r="X184" i="8" s="1"/>
  <c r="M177" i="8"/>
  <c r="N177" i="8" s="1"/>
  <c r="X187" i="8" s="1"/>
  <c r="M179" i="8"/>
  <c r="N179" i="8" s="1"/>
  <c r="M181" i="8"/>
  <c r="L193" i="8"/>
  <c r="K193" i="8"/>
  <c r="L185" i="8"/>
  <c r="L186" i="8"/>
  <c r="L188" i="8"/>
  <c r="L190" i="8"/>
  <c r="L192" i="8"/>
  <c r="R233" i="8" s="1"/>
  <c r="R234" i="8" s="1"/>
  <c r="S234" i="8" s="1"/>
  <c r="K186" i="8"/>
  <c r="K188" i="8"/>
  <c r="K190" i="8"/>
  <c r="K192" i="8"/>
  <c r="K185" i="8"/>
  <c r="L183" i="8"/>
  <c r="K183" i="8"/>
  <c r="L175" i="8"/>
  <c r="X209" i="8" s="1"/>
  <c r="K175" i="8"/>
  <c r="M175" i="8" s="1"/>
  <c r="Q175" i="8" s="1"/>
  <c r="Q197" i="8" s="1"/>
  <c r="F175" i="8"/>
  <c r="E175" i="8"/>
  <c r="E636" i="5"/>
  <c r="H636" i="5" s="1"/>
  <c r="F165" i="8"/>
  <c r="D162" i="8"/>
  <c r="E162" i="8" s="1"/>
  <c r="D143" i="8"/>
  <c r="D142" i="8"/>
  <c r="K134" i="8"/>
  <c r="C132" i="8" s="1"/>
  <c r="E132" i="8" s="1"/>
  <c r="G68" i="8" s="1"/>
  <c r="M134" i="8"/>
  <c r="C137" i="8" s="1"/>
  <c r="D137" i="8" s="1"/>
  <c r="F68" i="8" s="1"/>
  <c r="E134" i="8"/>
  <c r="G70" i="8" s="1"/>
  <c r="C105" i="8"/>
  <c r="E105" i="8" s="1"/>
  <c r="G106" i="8"/>
  <c r="M185" i="8" l="1"/>
  <c r="P185" i="8" s="1"/>
  <c r="M192" i="8"/>
  <c r="M183" i="8"/>
  <c r="M186" i="8"/>
  <c r="N186" i="8" s="1"/>
  <c r="N197" i="8" s="1"/>
  <c r="M190" i="8"/>
  <c r="P190" i="8" s="1"/>
  <c r="X202" i="8" s="1"/>
  <c r="R236" i="8"/>
  <c r="M188" i="8"/>
  <c r="P188" i="8" s="1"/>
  <c r="X201" i="8" s="1"/>
  <c r="M193" i="8"/>
  <c r="P194" i="8" s="1"/>
  <c r="X204" i="8" s="1"/>
  <c r="X200" i="8"/>
  <c r="X197" i="8"/>
  <c r="O197" i="8"/>
  <c r="X188" i="8"/>
  <c r="X190" i="8" s="1"/>
  <c r="D144" i="8"/>
  <c r="C135" i="8" s="1"/>
  <c r="D135" i="8" s="1"/>
  <c r="F70" i="8" s="1"/>
  <c r="P66" i="8" s="1"/>
  <c r="F181" i="8"/>
  <c r="F191" i="8" s="1"/>
  <c r="E181" i="8"/>
  <c r="E191" i="8" s="1"/>
  <c r="P92" i="8"/>
  <c r="P65" i="8"/>
  <c r="H83" i="8"/>
  <c r="P86" i="8" s="1"/>
  <c r="D81" i="8"/>
  <c r="C81" i="8"/>
  <c r="D79" i="8"/>
  <c r="C79" i="8"/>
  <c r="D75" i="8"/>
  <c r="H75" i="8" s="1"/>
  <c r="C75" i="8"/>
  <c r="H77" i="8" s="1"/>
  <c r="P84" i="8" s="1"/>
  <c r="D73" i="8"/>
  <c r="C73" i="8"/>
  <c r="D71" i="8"/>
  <c r="C71" i="8"/>
  <c r="P79" i="8"/>
  <c r="D68" i="8"/>
  <c r="C68" i="8"/>
  <c r="J66" i="8"/>
  <c r="G66" i="8" s="1"/>
  <c r="P77" i="8" s="1"/>
  <c r="E66" i="8"/>
  <c r="E64" i="8"/>
  <c r="F64" i="8" s="1"/>
  <c r="P71" i="8" s="1"/>
  <c r="E62" i="8"/>
  <c r="E60" i="8"/>
  <c r="F60" i="8" s="1"/>
  <c r="P69" i="8" s="1"/>
  <c r="E58" i="8"/>
  <c r="I58" i="8" s="1"/>
  <c r="I84" i="8" s="1"/>
  <c r="D33" i="8"/>
  <c r="D41" i="8" s="1"/>
  <c r="D83" i="8" s="1"/>
  <c r="C33" i="8"/>
  <c r="C41" i="8" s="1"/>
  <c r="C83" i="8" s="1"/>
  <c r="H609" i="5"/>
  <c r="H608" i="5" s="1"/>
  <c r="C608"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P197" i="8" l="1"/>
  <c r="X206" i="8"/>
  <c r="X208" i="8" s="1"/>
  <c r="X210" i="8" s="1"/>
  <c r="F192" i="8"/>
  <c r="L196" i="8"/>
  <c r="E192" i="8"/>
  <c r="K196" i="8"/>
  <c r="C607" i="5"/>
  <c r="E81" i="8"/>
  <c r="H81" i="8" s="1"/>
  <c r="P85" i="8" s="1"/>
  <c r="E79" i="8"/>
  <c r="E73" i="8"/>
  <c r="F73" i="8" s="1"/>
  <c r="P72" i="8" s="1"/>
  <c r="E71" i="8"/>
  <c r="D84" i="8"/>
  <c r="G84" i="8"/>
  <c r="E83" i="8"/>
  <c r="F83" i="8" s="1"/>
  <c r="P60" i="8" s="1"/>
  <c r="J79" i="8"/>
  <c r="J84" i="8" s="1"/>
  <c r="E68" i="8"/>
  <c r="E75" i="8"/>
  <c r="C84" i="8"/>
  <c r="D616" i="5"/>
  <c r="H600" i="5"/>
  <c r="C42" i="8"/>
  <c r="E531" i="5"/>
  <c r="P83" i="8"/>
  <c r="F62" i="8"/>
  <c r="D42"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K197" i="8" l="1"/>
  <c r="L237" i="8"/>
  <c r="M196" i="8"/>
  <c r="M197" i="8" s="1"/>
  <c r="L232" i="8"/>
  <c r="L197" i="8"/>
  <c r="P87" i="8"/>
  <c r="H84" i="8"/>
  <c r="P78" i="8"/>
  <c r="P80" i="8" s="1"/>
  <c r="E84" i="8"/>
  <c r="P70" i="8"/>
  <c r="P74" i="8" s="1"/>
  <c r="F84" i="8"/>
  <c r="N320" i="5"/>
  <c r="E539" i="5"/>
  <c r="H540" i="5"/>
  <c r="H542" i="5" s="1"/>
  <c r="E540" i="5"/>
  <c r="C540" i="5"/>
  <c r="E574" i="5"/>
  <c r="E578" i="5" s="1"/>
  <c r="E580" i="5" s="1"/>
  <c r="H428" i="5"/>
  <c r="H429" i="5" s="1"/>
  <c r="P330" i="5"/>
  <c r="Q329" i="5"/>
  <c r="Q330" i="5" s="1"/>
  <c r="P318" i="5" s="1"/>
  <c r="L320" i="5"/>
  <c r="L233" i="8" l="1"/>
  <c r="M233" i="8" s="1"/>
  <c r="P91" i="8"/>
  <c r="P93" i="8" s="1"/>
  <c r="F430" i="5"/>
  <c r="R318" i="5"/>
  <c r="R320" i="5" s="1"/>
  <c r="P320" i="5"/>
  <c r="G430" i="5" l="1"/>
  <c r="F431" i="5"/>
  <c r="G431" i="5" l="1"/>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229" i="5" l="1"/>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K1596" i="1" l="1"/>
  <c r="J1326" i="1"/>
  <c r="N865" i="1"/>
  <c r="C866" i="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66"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66"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79"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83"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<sst xmlns="http://schemas.openxmlformats.org/spreadsheetml/2006/main" count="4132" uniqueCount="2464">
  <si>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</si>
  <si>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</si>
  <si>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</si>
  <si>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</si>
  <si>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</si>
  <si>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</si>
  <si>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</si>
  <si>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</si>
  <si>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</si>
  <si>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</si>
  <si>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</si>
  <si>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</si>
  <si>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</si>
  <si>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</si>
  <si>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</si>
  <si>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</si>
  <si>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</si>
  <si>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</si>
  <si>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</si>
  <si>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</si>
  <si>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</si>
  <si>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</si>
  <si>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</si>
  <si>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</si>
  <si>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</si>
  <si>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</si>
  <si>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</si>
  <si>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</si>
  <si>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</si>
  <si>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</si>
  <si>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</si>
  <si>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</si>
  <si>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</si>
  <si>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</si>
  <si>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</si>
  <si>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</si>
  <si>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</si>
  <si>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</si>
  <si>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</si>
  <si>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</si>
  <si>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</si>
  <si>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</si>
  <si>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</si>
  <si>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</si>
  <si>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</si>
  <si>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</si>
  <si>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</si>
  <si>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</si>
  <si>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</si>
  <si>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</si>
  <si>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</si>
  <si>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</si>
  <si>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</si>
  <si>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</si>
  <si>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</si>
  <si>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</si>
  <si>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</si>
  <si>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</si>
  <si>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</si>
  <si>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</si>
  <si>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</si>
  <si>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</si>
  <si>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</si>
  <si>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</si>
  <si>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</si>
  <si>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</si>
  <si>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</si>
  <si>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</si>
  <si>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</si>
  <si>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</si>
  <si>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</si>
  <si>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</si>
  <si>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</si>
  <si>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</si>
  <si>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</si>
  <si>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</si>
  <si>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</si>
  <si>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</si>
  <si>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</si>
  <si>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</si>
  <si>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</si>
  <si>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</si>
  <si>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</si>
  <si>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</si>
  <si>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</si>
  <si>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</si>
  <si>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</si>
  <si>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</si>
  <si>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</si>
  <si>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</si>
  <si>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</si>
  <si>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</si>
  <si>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</si>
  <si>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</si>
  <si>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</si>
  <si>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</si>
  <si>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</si>
  <si>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</si>
  <si>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</si>
  <si>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</si>
  <si>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</si>
  <si>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</si>
  <si>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</si>
  <si>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</si>
  <si>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</si>
  <si>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</si>
  <si>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</si>
  <si>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</si>
  <si>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</si>
  <si>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</si>
  <si>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</si>
  <si>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</si>
  <si>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</si>
  <si>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</si>
  <si>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</si>
  <si>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</si>
  <si>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</si>
  <si>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</si>
  <si>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</si>
  <si>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</si>
  <si>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</si>
  <si>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</si>
  <si>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</si>
  <si>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</si>
  <si>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</si>
  <si>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</si>
  <si>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</si>
  <si>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</si>
  <si>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</si>
  <si>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</si>
  <si>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</si>
  <si>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</si>
  <si>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</si>
  <si>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</si>
  <si>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</si>
  <si>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</si>
  <si>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</si>
  <si>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</si>
  <si>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</si>
  <si>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</si>
  <si>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</si>
  <si>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</si>
  <si>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</si>
  <si>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</si>
  <si>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</si>
  <si>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</si>
  <si>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</si>
  <si>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</si>
  <si>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</si>
  <si>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</si>
  <si>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</si>
  <si>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</si>
  <si>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</si>
  <si>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</si>
  <si>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</si>
  <si>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</si>
  <si>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</si>
  <si>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</si>
  <si>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</si>
  <si>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</si>
  <si>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</si>
  <si>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</si>
  <si>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</si>
  <si>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</si>
  <si>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</si>
  <si>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</si>
  <si>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</si>
  <si>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</si>
  <si>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</si>
  <si>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</si>
  <si>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</si>
  <si>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</si>
  <si>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</si>
  <si>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</si>
  <si>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</si>
  <si>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</si>
  <si>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</si>
  <si>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</si>
  <si>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</si>
  <si>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</si>
  <si>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</si>
  <si>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</si>
  <si>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</si>
  <si>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</si>
  <si>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</si>
  <si>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</si>
  <si>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</si>
  <si>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</si>
  <si>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</si>
  <si>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</si>
  <si>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</si>
  <si>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</si>
  <si>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</si>
  <si>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</si>
  <si>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</si>
  <si>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</si>
  <si>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</si>
  <si>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</si>
  <si>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</si>
  <si>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</si>
  <si>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</si>
  <si>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</si>
  <si>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</si>
  <si>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</si>
  <si>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</si>
  <si>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</si>
  <si>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</si>
  <si>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</si>
  <si>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</si>
  <si>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</si>
  <si>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</si>
  <si>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</si>
  <si>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</si>
  <si>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</si>
  <si>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</si>
  <si>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</si>
  <si>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</si>
  <si>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</si>
  <si>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</si>
  <si>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</si>
  <si>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</si>
  <si>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</si>
  <si>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</si>
  <si>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</si>
  <si>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</si>
  <si>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</si>
  <si>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</si>
  <si>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</si>
  <si>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</si>
  <si>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</si>
  <si>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</si>
  <si>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</si>
  <si>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</si>
  <si>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</si>
  <si>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</si>
  <si>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</si>
  <si>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</si>
  <si>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</si>
  <si>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</si>
  <si>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</si>
  <si>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</si>
  <si>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</si>
  <si>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</si>
  <si>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</si>
  <si>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</si>
  <si>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</si>
  <si>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</si>
  <si>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</si>
  <si>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</si>
  <si>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</si>
  <si>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</si>
  <si>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</si>
  <si>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</si>
  <si>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</si>
  <si>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</si>
  <si>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</si>
  <si>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</si>
  <si>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</si>
  <si>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</si>
  <si>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</si>
  <si>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</si>
  <si>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</si>
  <si>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</si>
  <si>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</si>
  <si>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</si>
  <si>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</si>
  <si>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</si>
  <si>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</si>
  <si>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family val="2"/>
        <charset val="177"/>
      </rPr>
      <t>החשבונאות מספקת מידע כספי</t>
    </r>
    <r>
      <rPr>
        <sz val="12"/>
        <color theme="1"/>
        <rFont val="David"/>
        <family val="2"/>
        <charset val="177"/>
      </rPr>
      <t xml:space="preserve"> ל"מטרות </t>
    </r>
    <r>
      <rPr>
        <b/>
        <sz val="12"/>
        <color theme="1"/>
        <rFont val="David"/>
        <family val="2"/>
        <charset val="177"/>
      </rPr>
      <t>כלליות</t>
    </r>
    <r>
      <rPr>
        <sz val="12"/>
        <color theme="1"/>
        <rFont val="David"/>
        <family val="2"/>
        <charset val="177"/>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</si>
  <si>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family val="2"/>
        <charset val="177"/>
      </rPr>
      <t>דוחות כספיים</t>
    </r>
  </si>
  <si>
    <r>
      <t xml:space="preserve">א. </t>
    </r>
    <r>
      <rPr>
        <b/>
        <sz val="12"/>
        <color theme="1"/>
        <rFont val="David"/>
        <family val="2"/>
        <charset val="177"/>
      </rPr>
      <t>דוח רווח והפסד</t>
    </r>
    <r>
      <rPr>
        <sz val="12"/>
        <color theme="1"/>
        <rFont val="David"/>
        <family val="2"/>
        <charset val="177"/>
      </rPr>
      <t xml:space="preserve">: מידע בדבר </t>
    </r>
    <r>
      <rPr>
        <u/>
        <sz val="12"/>
        <color theme="1"/>
        <rFont val="David"/>
        <family val="2"/>
        <charset val="177"/>
      </rPr>
      <t>ההכנסות</t>
    </r>
    <r>
      <rPr>
        <sz val="12"/>
        <color theme="1"/>
        <rFont val="David"/>
        <family val="2"/>
        <charset val="177"/>
      </rPr>
      <t xml:space="preserve"> התקופתיות בחברה, </t>
    </r>
    <r>
      <rPr>
        <u/>
        <sz val="12"/>
        <color theme="1"/>
        <rFont val="David"/>
        <family val="2"/>
        <charset val="177"/>
      </rPr>
      <t>ההוצאות</t>
    </r>
    <r>
      <rPr>
        <sz val="12"/>
        <color theme="1"/>
        <rFont val="David"/>
        <family val="2"/>
        <charset val="177"/>
      </rPr>
      <t xml:space="preserve"> התקופתיות </t>
    </r>
    <r>
      <rPr>
        <u/>
        <sz val="12"/>
        <color theme="1"/>
        <rFont val="David"/>
        <family val="2"/>
        <charset val="177"/>
      </rPr>
      <t>והרווח / ההפסד</t>
    </r>
    <r>
      <rPr>
        <sz val="12"/>
        <color theme="1"/>
        <rFont val="David"/>
        <family val="2"/>
        <charset val="177"/>
      </rPr>
      <t xml:space="preserve"> </t>
    </r>
    <r>
      <rPr>
        <b/>
        <sz val="12"/>
        <color theme="1"/>
        <rFont val="David"/>
        <family val="2"/>
        <charset val="177"/>
      </rPr>
      <t>התקופתי (לשנה).</t>
    </r>
  </si>
  <si>
    <r>
      <t xml:space="preserve">ב. </t>
    </r>
    <r>
      <rPr>
        <b/>
        <sz val="12"/>
        <color theme="1"/>
        <rFont val="David"/>
        <family val="2"/>
        <charset val="177"/>
      </rPr>
      <t>הדוח על המצב הכספי (</t>
    </r>
    <r>
      <rPr>
        <b/>
        <u/>
        <sz val="12"/>
        <color theme="1"/>
        <rFont val="David"/>
        <family val="2"/>
        <charset val="177"/>
      </rPr>
      <t>מאזן</t>
    </r>
    <r>
      <rPr>
        <b/>
        <sz val="12"/>
        <color theme="1"/>
        <rFont val="David"/>
        <family val="2"/>
        <charset val="177"/>
      </rPr>
      <t>)</t>
    </r>
    <r>
      <rPr>
        <sz val="12"/>
        <color theme="1"/>
        <rFont val="David"/>
        <family val="2"/>
        <charset val="177"/>
      </rPr>
      <t xml:space="preserve">: מידע בדבר הנכסים, ההתחייבויות וההפרש ביניהם - הון עצמי: </t>
    </r>
    <r>
      <rPr>
        <b/>
        <sz val="12"/>
        <color theme="1"/>
        <rFont val="David"/>
        <family val="2"/>
        <charset val="177"/>
      </rPr>
      <t>לנקודת זמן (ל-31.12).</t>
    </r>
  </si>
  <si>
    <r>
      <t xml:space="preserve">ג. </t>
    </r>
    <r>
      <rPr>
        <b/>
        <sz val="12"/>
        <color theme="1"/>
        <rFont val="David"/>
        <family val="2"/>
        <charset val="177"/>
      </rPr>
      <t>הדוח על תזרימי המזומנים</t>
    </r>
    <r>
      <rPr>
        <sz val="12"/>
        <color theme="1"/>
        <rFont val="David"/>
        <family val="2"/>
        <charset val="177"/>
      </rPr>
      <t xml:space="preserve">: מספק מידע בדבר מקורות המזומן והשימושים במזומן - </t>
    </r>
    <r>
      <rPr>
        <b/>
        <sz val="12"/>
        <color theme="1"/>
        <rFont val="David"/>
        <family val="2"/>
        <charset val="177"/>
      </rPr>
      <t>תקופתי</t>
    </r>
    <r>
      <rPr>
        <sz val="12"/>
        <color theme="1"/>
        <rFont val="David"/>
        <family val="2"/>
        <charset val="177"/>
      </rPr>
      <t xml:space="preserve">. </t>
    </r>
  </si>
  <si>
    <r>
      <t xml:space="preserve">בשלב זה אנו יודעים כי הדוח על המצב הכספי (המאזן) מפרט </t>
    </r>
    <r>
      <rPr>
        <b/>
        <sz val="12"/>
        <color theme="1"/>
        <rFont val="David"/>
        <family val="2"/>
        <charset val="177"/>
      </rPr>
      <t>נכסי החברה</t>
    </r>
    <r>
      <rPr>
        <sz val="12"/>
        <color theme="1"/>
        <rFont val="David"/>
        <family val="2"/>
        <charset val="177"/>
      </rPr>
      <t xml:space="preserve">, לצד </t>
    </r>
    <r>
      <rPr>
        <u/>
        <sz val="12"/>
        <color theme="1"/>
        <rFont val="David"/>
        <family val="2"/>
        <charset val="177"/>
      </rPr>
      <t>התחייבויותיה</t>
    </r>
    <r>
      <rPr>
        <sz val="12"/>
        <color theme="1"/>
        <rFont val="David"/>
        <family val="2"/>
        <charset val="177"/>
      </rPr>
      <t xml:space="preserve"> </t>
    </r>
    <r>
      <rPr>
        <u/>
        <sz val="12"/>
        <color theme="1"/>
        <rFont val="David"/>
        <family val="2"/>
        <charset val="177"/>
      </rPr>
      <t>וההון העצמי</t>
    </r>
    <r>
      <rPr>
        <sz val="12"/>
        <color theme="1"/>
        <rFont val="David"/>
        <family val="2"/>
        <charset val="177"/>
      </rPr>
      <t xml:space="preserve"> שלה.</t>
    </r>
  </si>
  <si>
    <r>
      <rPr>
        <b/>
        <sz val="12"/>
        <color rgb="FFFF0000"/>
        <rFont val="David"/>
        <family val="2"/>
        <charset val="177"/>
      </rPr>
      <t>(1)</t>
    </r>
    <r>
      <rPr>
        <sz val="12"/>
        <color theme="1"/>
        <rFont val="David"/>
        <family val="2"/>
        <charset val="177"/>
      </rPr>
      <t xml:space="preserve"> = 310</t>
    </r>
  </si>
  <si>
    <r>
      <rPr>
        <b/>
        <sz val="12"/>
        <color rgb="FFFF0000"/>
        <rFont val="David"/>
        <family val="2"/>
        <charset val="177"/>
      </rPr>
      <t>(2)</t>
    </r>
    <r>
      <rPr>
        <sz val="12"/>
        <color theme="1"/>
        <rFont val="David"/>
        <family val="2"/>
        <charset val="177"/>
      </rPr>
      <t xml:space="preserve"> = 300</t>
    </r>
  </si>
  <si>
    <r>
      <rPr>
        <b/>
        <sz val="12"/>
        <color theme="1"/>
        <rFont val="David"/>
        <family val="2"/>
        <charset val="177"/>
      </rPr>
      <t>200 + 300</t>
    </r>
    <r>
      <rPr>
        <sz val="12"/>
        <color theme="1"/>
        <rFont val="David"/>
        <family val="2"/>
        <charset val="177"/>
      </rPr>
      <t xml:space="preserve">                            =                   </t>
    </r>
    <r>
      <rPr>
        <b/>
        <sz val="12"/>
        <color theme="1"/>
        <rFont val="David"/>
        <family val="2"/>
        <charset val="177"/>
      </rPr>
      <t xml:space="preserve">100 + </t>
    </r>
    <r>
      <rPr>
        <b/>
        <sz val="12"/>
        <color rgb="FFFF0000"/>
        <rFont val="David"/>
        <family val="2"/>
        <charset val="177"/>
      </rPr>
      <t>(X1)</t>
    </r>
    <r>
      <rPr>
        <b/>
        <sz val="12"/>
        <color theme="1"/>
        <rFont val="David"/>
        <family val="2"/>
        <charset val="177"/>
      </rPr>
      <t xml:space="preserve"> + 90</t>
    </r>
  </si>
  <si>
    <r>
      <t xml:space="preserve">250 + 320 = 130 + 140 + </t>
    </r>
    <r>
      <rPr>
        <b/>
        <sz val="12"/>
        <color rgb="FFFF0000"/>
        <rFont val="David"/>
        <family val="2"/>
        <charset val="177"/>
      </rPr>
      <t>(X2)</t>
    </r>
    <r>
      <rPr>
        <sz val="12"/>
        <color theme="1"/>
        <rFont val="David"/>
        <family val="2"/>
        <charset val="177"/>
      </rPr>
      <t xml:space="preserve"> </t>
    </r>
  </si>
  <si>
    <r>
      <t xml:space="preserve">הערה של קיילי (*): כמובן, במידה ונוצר הפסד (הכנסות נמוכות מהוצאות) הדבר </t>
    </r>
    <r>
      <rPr>
        <b/>
        <u/>
        <sz val="12"/>
        <color theme="1"/>
        <rFont val="David"/>
        <family val="2"/>
        <charset val="177"/>
      </rPr>
      <t>יקטין</t>
    </r>
    <r>
      <rPr>
        <sz val="12"/>
        <color theme="1"/>
        <rFont val="David"/>
        <family val="2"/>
        <charset val="177"/>
      </rPr>
      <t xml:space="preserve"> את ההון.</t>
    </r>
  </si>
  <si>
    <r>
      <t xml:space="preserve">המאזן הוא דוח כספי המשקף </t>
    </r>
    <r>
      <rPr>
        <u/>
        <sz val="12"/>
        <color theme="1"/>
        <rFont val="David"/>
        <family val="2"/>
        <charset val="177"/>
      </rPr>
      <t>זהות</t>
    </r>
    <r>
      <rPr>
        <sz val="12"/>
        <color theme="1"/>
        <rFont val="David"/>
        <family val="2"/>
        <charset val="177"/>
      </rPr>
      <t xml:space="preserve"> (שוויון) עקרונית בין סך המשאבים / השימושים בחברה </t>
    </r>
    <r>
      <rPr>
        <u/>
        <sz val="12"/>
        <color theme="1"/>
        <rFont val="David"/>
        <family val="2"/>
        <charset val="177"/>
      </rPr>
      <t>(נכסים)</t>
    </r>
    <r>
      <rPr>
        <sz val="12"/>
        <color theme="1"/>
        <rFont val="David"/>
        <family val="2"/>
        <charset val="177"/>
      </rPr>
      <t xml:space="preserve"> לבין סך המקורות ששימשו</t>
    </r>
  </si>
  <si>
    <r>
      <t xml:space="preserve">על מנת שיווצר בחברה מידע כספי שיאפשר לערוך את המאזן, נדרש לשקף את ההשפעה </t>
    </r>
    <r>
      <rPr>
        <u/>
        <sz val="12"/>
        <color theme="1"/>
        <rFont val="David"/>
        <family val="2"/>
        <charset val="177"/>
      </rPr>
      <t>של כל עסקה ועסקה</t>
    </r>
    <r>
      <rPr>
        <sz val="12"/>
        <color theme="1"/>
        <rFont val="David"/>
        <family val="2"/>
        <charset val="177"/>
      </rPr>
      <t xml:space="preserve"> על שני</t>
    </r>
  </si>
  <si>
    <r>
      <t xml:space="preserve">האגפים: גם על </t>
    </r>
    <r>
      <rPr>
        <u/>
        <sz val="12"/>
        <color theme="1"/>
        <rFont val="David"/>
        <family val="2"/>
        <charset val="177"/>
      </rPr>
      <t>הנכסים</t>
    </r>
    <r>
      <rPr>
        <sz val="12"/>
        <color theme="1"/>
        <rFont val="David"/>
        <family val="2"/>
        <charset val="177"/>
      </rPr>
      <t xml:space="preserve">, וגם על </t>
    </r>
    <r>
      <rPr>
        <u/>
        <sz val="12"/>
        <color theme="1"/>
        <rFont val="David"/>
        <family val="2"/>
        <charset val="177"/>
      </rPr>
      <t>ההתחייבויות וההון העצמי</t>
    </r>
    <r>
      <rPr>
        <sz val="12"/>
        <color theme="1"/>
        <rFont val="David"/>
        <family val="2"/>
        <charset val="177"/>
      </rPr>
      <t>.</t>
    </r>
  </si>
  <si>
    <r>
      <t xml:space="preserve">סך הגידול במזומן - לפי המזומן הנתון והשיק לפירעון </t>
    </r>
    <r>
      <rPr>
        <b/>
        <sz val="12"/>
        <color theme="1"/>
        <rFont val="David"/>
        <family val="2"/>
        <charset val="177"/>
      </rPr>
      <t>מיידי</t>
    </r>
    <r>
      <rPr>
        <sz val="12"/>
        <color theme="1"/>
        <rFont val="David"/>
        <family val="2"/>
        <charset val="177"/>
      </rPr>
      <t>:</t>
    </r>
  </si>
  <si>
    <r>
      <t xml:space="preserve">לגבי מצב שבו </t>
    </r>
    <r>
      <rPr>
        <b/>
        <sz val="12"/>
        <color theme="1"/>
        <rFont val="David"/>
        <family val="2"/>
        <charset val="177"/>
      </rPr>
      <t>מקבלים</t>
    </r>
    <r>
      <rPr>
        <sz val="12"/>
        <color theme="1"/>
        <rFont val="David"/>
        <family val="2"/>
        <charset val="177"/>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</si>
  <si>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family val="2"/>
        <charset val="177"/>
      </rPr>
      <t>כלפי החברה</t>
    </r>
    <r>
      <rPr>
        <sz val="12"/>
        <color theme="1"/>
        <rFont val="David"/>
        <family val="2"/>
        <charset val="177"/>
      </rPr>
      <t xml:space="preserve"> זה תמיד </t>
    </r>
    <r>
      <rPr>
        <b/>
        <sz val="12"/>
        <color theme="1"/>
        <rFont val="David"/>
        <family val="2"/>
        <charset val="177"/>
      </rPr>
      <t>נכס שלה</t>
    </r>
    <r>
      <rPr>
        <sz val="12"/>
        <color theme="1"/>
        <rFont val="David"/>
        <family val="2"/>
        <charset val="177"/>
      </rPr>
      <t xml:space="preserve">. </t>
    </r>
  </si>
  <si>
    <r>
      <t xml:space="preserve">חוב כלפי החברה שנוצר בעקבות קבלת שיק דחוי נקרא בשם </t>
    </r>
    <r>
      <rPr>
        <u/>
        <sz val="12"/>
        <color theme="1"/>
        <rFont val="David"/>
        <family val="2"/>
        <charset val="177"/>
      </rPr>
      <t xml:space="preserve">נכס </t>
    </r>
    <r>
      <rPr>
        <b/>
        <sz val="12"/>
        <color theme="1"/>
        <rFont val="David"/>
        <family val="2"/>
        <charset val="177"/>
      </rPr>
      <t>שיקים לקבל</t>
    </r>
    <r>
      <rPr>
        <sz val="12"/>
        <color theme="1"/>
        <rFont val="David"/>
        <family val="2"/>
        <charset val="177"/>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</si>
  <si>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</si>
  <si>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</si>
  <si>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</si>
  <si>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</si>
  <si>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</si>
  <si>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</si>
  <si>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</si>
  <si>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</si>
  <si>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</si>
  <si>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</si>
  <si>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</si>
  <si>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</si>
  <si>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</si>
  <si>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</si>
  <si>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</si>
  <si>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</si>
  <si>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</si>
  <si>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family val="2"/>
        <charset val="177"/>
      </rPr>
      <t>עלות המוצרים שנמכרו</t>
    </r>
  </si>
  <si>
    <r>
      <t xml:space="preserve">בניכוי הוצאות מכירה ושיווק: פרסום, שיווק </t>
    </r>
    <r>
      <rPr>
        <u/>
        <sz val="12"/>
        <color theme="1"/>
        <rFont val="David"/>
        <family val="2"/>
        <charset val="177"/>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</si>
  <si>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</si>
  <si>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</si>
  <si>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</si>
  <si>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</si>
  <si>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</si>
  <si>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</si>
  <si>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</si>
  <si>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</si>
  <si>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</si>
  <si>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</si>
  <si>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</si>
  <si>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</si>
  <si>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family val="2"/>
        <charset val="177"/>
      </rPr>
      <t>התחייבויות</t>
    </r>
    <r>
      <rPr>
        <sz val="12"/>
        <color theme="1"/>
        <rFont val="David"/>
        <family val="2"/>
        <charset val="177"/>
      </rPr>
      <t xml:space="preserve"> ו</t>
    </r>
    <r>
      <rPr>
        <u/>
        <sz val="12"/>
        <color theme="1"/>
        <rFont val="David"/>
        <family val="2"/>
        <charset val="177"/>
      </rPr>
      <t>הון עצמי</t>
    </r>
    <r>
      <rPr>
        <sz val="12"/>
        <color theme="1"/>
        <rFont val="David"/>
        <family val="2"/>
        <charset val="177"/>
      </rPr>
      <t xml:space="preserve">). </t>
    </r>
    <r>
      <rPr>
        <b/>
        <sz val="22"/>
        <color rgb="FFFF0000"/>
        <rFont val="David"/>
        <family val="2"/>
        <charset val="177"/>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</si>
  <si>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</si>
  <si>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</si>
  <si>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</si>
  <si>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</si>
  <si>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</si>
  <si>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</si>
  <si>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</si>
  <si>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</si>
  <si>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</si>
  <si>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family val="2"/>
        <charset val="177"/>
      </rPr>
      <t>הוצאות מקטינות את הרווח</t>
    </r>
    <r>
      <rPr>
        <sz val="12"/>
        <color theme="1"/>
        <rFont val="David"/>
        <family val="2"/>
        <charset val="177"/>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</si>
  <si>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</si>
  <si>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</si>
  <si>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</si>
  <si>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</si>
  <si>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family val="2"/>
        <charset val="177"/>
      </rPr>
      <t>לא תסווג כהוצאה</t>
    </r>
    <r>
      <rPr>
        <sz val="12"/>
        <color theme="1"/>
        <rFont val="David"/>
        <family val="2"/>
        <charset val="177"/>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</si>
  <si>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</si>
  <si>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</si>
  <si>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</si>
  <si>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</si>
  <si>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</si>
  <si>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</si>
  <si>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</si>
  <si>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</si>
  <si>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</si>
  <si>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</si>
  <si>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</si>
  <si>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</si>
  <si>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</si>
  <si>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</si>
  <si>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</si>
  <si>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</si>
  <si>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</si>
  <si>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</si>
  <si>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</si>
  <si>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</si>
  <si>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</si>
  <si>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</si>
  <si>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</si>
  <si>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family val="2"/>
        <charset val="177"/>
      </rPr>
      <t>ההכנסה היא בסך 200,000 ש"ח</t>
    </r>
    <r>
      <rPr>
        <sz val="12"/>
        <color theme="1"/>
        <rFont val="David"/>
        <family val="2"/>
        <charset val="177"/>
      </rPr>
      <t>.</t>
    </r>
  </si>
  <si>
    <t>עסקה 9.1</t>
  </si>
  <si>
    <t>עסקה 9.2</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</si>
  <si>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</si>
  <si>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</si>
  <si>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</si>
  <si>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</si>
  <si>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</si>
  <si>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</si>
  <si>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מסים על ההכנסה בסך 17,000 ש"ח.</t>
    </r>
  </si>
  <si>
    <t>עסקה 10</t>
  </si>
  <si>
    <t>בנכס מזומן</t>
  </si>
  <si>
    <r>
      <t xml:space="preserve">החברה הכריזה ושילמה דיבידנד בשיעור 10% </t>
    </r>
    <r>
      <rPr>
        <b/>
        <u/>
        <sz val="12"/>
        <color theme="1"/>
        <rFont val="David"/>
        <family val="2"/>
        <charset val="177"/>
      </rPr>
      <t>מהרווח הנקי</t>
    </r>
    <r>
      <rPr>
        <b/>
        <sz val="12"/>
        <color theme="1"/>
        <rFont val="David"/>
        <family val="2"/>
        <charset val="177"/>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</si>
  <si>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</si>
  <si>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</si>
  <si>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</si>
  <si>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</si>
  <si>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</si>
  <si>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</si>
  <si>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</si>
  <si>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</si>
  <si>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family val="2"/>
        <charset val="177"/>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</si>
  <si>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</si>
  <si>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</si>
  <si>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</si>
  <si>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</si>
  <si>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family val="2"/>
        <charset val="177"/>
      </rPr>
      <t>היקפי הפעילות</t>
    </r>
    <r>
      <rPr>
        <sz val="12"/>
        <color theme="1"/>
        <rFont val="David"/>
        <family val="2"/>
        <charset val="177"/>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</si>
  <si>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</si>
  <si>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</si>
  <si>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</si>
  <si>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</si>
  <si>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</si>
  <si>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</si>
  <si>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</si>
  <si>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family val="2"/>
        <charset val="177"/>
      </rPr>
      <t>הדוח על השינויים בהון</t>
    </r>
    <r>
      <rPr>
        <sz val="12"/>
        <color theme="1"/>
        <rFont val="David"/>
        <family val="2"/>
        <charset val="177"/>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</si>
  <si>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</si>
  <si>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</si>
  <si>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</si>
  <si>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</si>
  <si>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</si>
  <si>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</si>
  <si>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</si>
  <si>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</si>
  <si>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</si>
  <si>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</si>
  <si>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</si>
  <si>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</si>
  <si>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</si>
  <si>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</si>
  <si>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family val="2"/>
        <charset val="177"/>
      </rPr>
      <t>הבעלים מזרים לחברה משאבים (כסף)</t>
    </r>
    <r>
      <rPr>
        <sz val="12"/>
        <color theme="1"/>
        <rFont val="David"/>
        <family val="2"/>
        <charset val="177"/>
      </rPr>
      <t xml:space="preserve"> ובתמורה, </t>
    </r>
    <r>
      <rPr>
        <u/>
        <sz val="12"/>
        <color theme="1"/>
        <rFont val="David"/>
        <family val="2"/>
        <charset val="177"/>
      </rPr>
      <t>מקבל נייר ערך (מניה)</t>
    </r>
  </si>
  <si>
    <r>
      <t xml:space="preserve">שמקנה לו </t>
    </r>
    <r>
      <rPr>
        <u/>
        <sz val="12"/>
        <color theme="1"/>
        <rFont val="David"/>
        <family val="2"/>
        <charset val="177"/>
      </rPr>
      <t>זכויות מסוימות באותה חברה</t>
    </r>
    <r>
      <rPr>
        <sz val="12"/>
        <color theme="1"/>
        <rFont val="David"/>
        <family val="2"/>
        <charset val="177"/>
      </rPr>
      <t xml:space="preserve"> (כגון זכות לחלק מהרווח המחולק - דיבידנד, וזכות להשתתף בהצבעה בדבר החלטות בחברה).</t>
    </r>
  </si>
  <si>
    <r>
      <t xml:space="preserve">נשים לב: </t>
    </r>
    <r>
      <rPr>
        <u/>
        <sz val="12"/>
        <color theme="1"/>
        <rFont val="David"/>
        <family val="2"/>
        <charset val="177"/>
      </rPr>
      <t>השקעת בעלים זו היא מקור מימון הוני (הון עצמי)</t>
    </r>
    <r>
      <rPr>
        <sz val="12"/>
        <color theme="1"/>
        <rFont val="David"/>
        <family val="2"/>
        <charset val="177"/>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</si>
  <si>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family val="2"/>
        <charset val="177"/>
      </rPr>
      <t>מהבעלים</t>
    </r>
    <r>
      <rPr>
        <sz val="12"/>
        <color theme="1"/>
        <rFont val="David"/>
        <family val="2"/>
        <charset val="177"/>
      </rPr>
      <t xml:space="preserve"> ולהנות מרווח עתידי </t>
    </r>
    <r>
      <rPr>
        <u/>
        <sz val="12"/>
        <color theme="1"/>
        <rFont val="David"/>
        <family val="2"/>
        <charset val="177"/>
      </rPr>
      <t>אם יתקיים</t>
    </r>
    <r>
      <rPr>
        <sz val="12"/>
        <color theme="1"/>
        <rFont val="David"/>
        <family val="2"/>
        <charset val="177"/>
      </rPr>
      <t xml:space="preserve">. </t>
    </r>
  </si>
  <si>
    <t>בקצרה:</t>
  </si>
  <si>
    <t>הלוואה 
ל-4 שנים</t>
  </si>
  <si>
    <t xml:space="preserve">200,000 - 56,000 = </t>
  </si>
  <si>
    <r>
      <t xml:space="preserve">הכרזת </t>
    </r>
    <r>
      <rPr>
        <b/>
        <u/>
        <sz val="12"/>
        <color theme="1"/>
        <rFont val="David"/>
        <family val="2"/>
        <charset val="177"/>
      </rPr>
      <t>הדיבידנד מקטינה את ההון העצמי</t>
    </r>
    <r>
      <rPr>
        <sz val="12"/>
        <color theme="1"/>
        <rFont val="David"/>
        <family val="2"/>
        <charset val="177"/>
      </rPr>
      <t xml:space="preserve"> - ואם הוא שולם בפועל, </t>
    </r>
    <r>
      <rPr>
        <b/>
        <u/>
        <sz val="12"/>
        <color theme="1"/>
        <rFont val="David"/>
        <family val="2"/>
        <charset val="177"/>
      </rPr>
      <t>המזומן יקטן</t>
    </r>
    <r>
      <rPr>
        <sz val="12"/>
        <color theme="1"/>
        <rFont val="David"/>
        <family val="2"/>
        <charset val="177"/>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</si>
  <si>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</si>
  <si>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</si>
  <si>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</si>
  <si>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</si>
  <si>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family val="2"/>
        <charset val="177"/>
      </rPr>
      <t>31.12.2016</t>
    </r>
  </si>
  <si>
    <r>
      <t xml:space="preserve">מאזן </t>
    </r>
    <r>
      <rPr>
        <b/>
        <sz val="12"/>
        <color rgb="FFFF0000"/>
        <rFont val="David"/>
        <family val="2"/>
        <charset val="177"/>
      </rPr>
      <t>31.12.2017</t>
    </r>
  </si>
  <si>
    <t>שווה להון העצמי הסופי (לתום השנה)</t>
  </si>
  <si>
    <r>
      <t xml:space="preserve">שימו לב: לעתים </t>
    </r>
    <r>
      <rPr>
        <b/>
        <sz val="12"/>
        <color theme="1"/>
        <rFont val="David"/>
        <family val="2"/>
        <charset val="177"/>
      </rPr>
      <t>נכסים</t>
    </r>
    <r>
      <rPr>
        <sz val="12"/>
        <color theme="1"/>
        <rFont val="David"/>
        <family val="2"/>
        <charset val="177"/>
      </rPr>
      <t xml:space="preserve"> נקראים ״</t>
    </r>
    <r>
      <rPr>
        <b/>
        <sz val="12"/>
        <color theme="1"/>
        <rFont val="David"/>
        <family val="2"/>
        <charset val="177"/>
      </rPr>
      <t>רכוש</t>
    </r>
    <r>
      <rPr>
        <sz val="12"/>
        <color theme="1"/>
        <rFont val="David"/>
        <family val="2"/>
        <charset val="177"/>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</si>
  <si>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</si>
  <si>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</si>
  <si>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</si>
  <si>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</si>
  <si>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</si>
  <si>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</si>
  <si>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</si>
  <si>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family val="2"/>
        <charset val="177"/>
      </rPr>
      <t>חשבונאות הפיננסית</t>
    </r>
    <r>
      <rPr>
        <sz val="11"/>
        <color theme="1"/>
        <rFont val="David"/>
        <family val="2"/>
        <charset val="177"/>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</si>
  <si>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family val="2"/>
        <charset val="177"/>
      </rPr>
      <t>חשבונאות</t>
    </r>
  </si>
  <si>
    <r>
      <rPr>
        <b/>
        <sz val="11"/>
        <color theme="1"/>
        <rFont val="David"/>
        <family val="2"/>
        <charset val="177"/>
      </rPr>
      <t>ניהולית</t>
    </r>
    <r>
      <rPr>
        <sz val="11"/>
        <color theme="1"/>
        <rFont val="David"/>
        <family val="2"/>
        <charset val="177"/>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</si>
  <si>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</si>
  <si>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</si>
  <si>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</si>
  <si>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</si>
  <si>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family val="2"/>
        <charset val="177"/>
      </rPr>
      <t>שימו לב, סימון בסוגריים מסמל ערך שלילי בחשבונאות</t>
    </r>
    <r>
      <rPr>
        <sz val="12"/>
        <color theme="1"/>
        <rFont val="David"/>
        <family val="2"/>
        <charset val="177"/>
      </rPr>
      <t>.</t>
    </r>
  </si>
  <si>
    <t>סה״כ</t>
  </si>
  <si>
    <r>
      <t xml:space="preserve">א. מהי החשבונאות </t>
    </r>
    <r>
      <rPr>
        <b/>
        <sz val="12"/>
        <color theme="1"/>
        <rFont val="David"/>
        <family val="2"/>
        <charset val="177"/>
      </rPr>
      <t>הפיננסית</t>
    </r>
    <r>
      <rPr>
        <sz val="12"/>
        <color theme="1"/>
        <rFont val="David"/>
        <family val="2"/>
        <charset val="177"/>
      </rPr>
      <t xml:space="preserve"> ומהי מטרתה?</t>
    </r>
  </si>
  <si>
    <r>
      <t xml:space="preserve">א. מהי החשבונאות </t>
    </r>
    <r>
      <rPr>
        <b/>
        <u/>
        <sz val="12"/>
        <color theme="1"/>
        <rFont val="David"/>
        <family val="2"/>
        <charset val="177"/>
      </rPr>
      <t>פיננסית</t>
    </r>
    <r>
      <rPr>
        <b/>
        <sz val="12"/>
        <color theme="1"/>
        <rFont val="David"/>
        <family val="2"/>
        <charset val="177"/>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</si>
  <si>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</si>
  <si>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</si>
  <si>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</si>
  <si>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</si>
  <si>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</si>
  <si>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</si>
  <si>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</si>
  <si>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</si>
  <si>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</si>
  <si>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</si>
  <si>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</si>
  <si>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</si>
  <si>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</si>
  <si>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</si>
  <si>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</si>
  <si>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</si>
  <si>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</si>
  <si>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</si>
  <si>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</si>
  <si>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</si>
  <si>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</si>
  <si>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</si>
  <si>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</si>
  <si>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</si>
  <si>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</si>
  <si>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</si>
  <si>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</si>
  <si>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</si>
  <si>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</si>
  <si>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</si>
  <si>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</si>
  <si>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</si>
  <si>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</si>
  <si>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</si>
  <si>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</si>
  <si>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</si>
  <si>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</si>
  <si>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</si>
  <si>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</si>
  <si>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</si>
  <si>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</si>
  <si>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</si>
  <si>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</si>
  <si>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</si>
  <si>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</si>
  <si>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</si>
  <si>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</si>
  <si>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</si>
  <si>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</si>
  <si>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</si>
  <si>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</si>
  <si>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</si>
  <si>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</si>
  <si>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</si>
  <si>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</si>
  <si>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</si>
  <si>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</si>
  <si>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</si>
  <si>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</si>
  <si>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</si>
  <si>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</si>
  <si>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</si>
  <si>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</si>
  <si>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family val="2"/>
        <charset val="177"/>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</si>
  <si>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</si>
  <si>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</si>
  <si>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</si>
  <si>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</si>
  <si>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</si>
  <si>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</si>
  <si>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</si>
  <si>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</si>
  <si>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</si>
  <si>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</si>
  <si>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</si>
  <si>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</si>
  <si>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</si>
  <si>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</si>
  <si>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</si>
  <si>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</si>
  <si>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</si>
  <si>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</si>
  <si>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</si>
  <si>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</si>
  <si>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</si>
  <si>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</si>
  <si>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</si>
  <si>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</si>
  <si>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</si>
  <si>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</si>
  <si>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</si>
  <si>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</si>
  <si>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</si>
  <si>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</si>
  <si>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</si>
  <si>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</si>
  <si>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</si>
  <si>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</si>
  <si>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</si>
  <si>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</si>
  <si>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</si>
  <si>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</si>
  <si>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</si>
  <si>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</si>
  <si>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</si>
  <si>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</si>
  <si>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</si>
  <si>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</si>
  <si>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</si>
  <si>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</si>
  <si>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</si>
  <si>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</si>
  <si>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</si>
  <si>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</si>
  <si>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</si>
  <si>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</si>
  <si>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</si>
  <si>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</si>
  <si>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</si>
  <si>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</si>
  <si>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</si>
  <si>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</si>
  <si>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</si>
  <si>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</si>
  <si>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</si>
  <si>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</si>
  <si>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</si>
  <si>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</si>
  <si>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</si>
  <si>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</si>
  <si>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</si>
  <si>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</si>
  <si>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</si>
  <si>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</si>
  <si>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</si>
  <si>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</si>
  <si>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</si>
  <si>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</si>
  <si>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</si>
  <si>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</si>
  <si>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</si>
  <si>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</si>
  <si>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</si>
  <si>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</si>
  <si>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</si>
  <si>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</si>
  <si>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</si>
  <si>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</si>
  <si>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</si>
  <si>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</si>
  <si>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</si>
  <si>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</si>
  <si>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</si>
  <si>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</si>
  <si>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</si>
  <si>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</si>
  <si>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</si>
  <si>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</si>
  <si>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</si>
  <si>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</si>
  <si>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</si>
  <si>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</si>
  <si>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</si>
  <si>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</si>
  <si>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</si>
  <si>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</si>
  <si>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</si>
  <si>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</si>
  <si>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</si>
  <si>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</si>
  <si>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</si>
  <si>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</si>
  <si>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</si>
  <si>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</si>
  <si>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</si>
  <si>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</si>
  <si>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</si>
  <si>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</si>
  <si>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</si>
  <si>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</si>
  <si>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</si>
  <si>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</si>
  <si>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</si>
  <si>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</si>
  <si>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</si>
  <si>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</si>
  <si>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</si>
  <si>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</si>
  <si>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</si>
  <si>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</si>
  <si>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</si>
  <si>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</si>
  <si>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</si>
  <si>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</si>
  <si>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</si>
  <si>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family val="2"/>
        <charset val="177"/>
      </rPr>
      <t>דוח ייעוד הרווחים</t>
    </r>
    <r>
      <rPr>
        <b/>
        <sz val="12"/>
        <rFont val="David"/>
        <family val="2"/>
        <charset val="177"/>
      </rPr>
      <t xml:space="preserve"> (מקטין את העודפים) </t>
    </r>
    <r>
      <rPr>
        <b/>
        <u/>
        <sz val="12"/>
        <rFont val="David"/>
        <family val="2"/>
        <charset val="177"/>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</si>
  <si>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</si>
  <si>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</si>
  <si>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</si>
  <si>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</si>
  <si>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</si>
  <si>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</si>
  <si>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</si>
  <si>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</si>
  <si>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</si>
  <si>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</si>
  <si>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</si>
  <si>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</si>
  <si>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</si>
  <si>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</si>
  <si>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</si>
  <si>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</si>
  <si>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</si>
  <si>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</si>
  <si>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</si>
  <si>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</si>
  <si>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</si>
  <si>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</si>
  <si>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</si>
  <si>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</si>
  <si>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</si>
  <si>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</si>
  <si>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</si>
  <si>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</si>
  <si>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</si>
  <si>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</si>
  <si>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</si>
  <si>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</si>
  <si>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</si>
  <si>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</si>
  <si>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</si>
  <si>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</si>
  <si>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</si>
  <si>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</si>
  <si>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</si>
  <si>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</si>
  <si>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</si>
  <si>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</si>
  <si>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</si>
  <si>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</si>
  <si>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</si>
  <si>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</si>
  <si>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</si>
  <si>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</si>
  <si>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</si>
  <si>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</si>
  <si>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</si>
  <si>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</si>
  <si>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</si>
  <si>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</si>
  <si>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</si>
  <si>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</si>
  <si>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</si>
  <si>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</si>
  <si>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</si>
  <si>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</si>
  <si>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</si>
  <si>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</si>
  <si>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</si>
  <si>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</si>
  <si>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</si>
  <si>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</si>
  <si>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</si>
  <si>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</si>
  <si>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</si>
  <si>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</si>
  <si>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</si>
  <si>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</si>
  <si>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</si>
  <si>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</si>
  <si>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</si>
  <si>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</si>
  <si>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</si>
  <si>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</si>
  <si>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</si>
  <si>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</si>
  <si>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</si>
  <si>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</si>
  <si>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</si>
  <si>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</si>
  <si>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</si>
  <si>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</si>
  <si>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</si>
  <si>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</si>
  <si>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</si>
  <si>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</si>
  <si>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</si>
  <si>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</si>
  <si>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</si>
  <si>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</si>
  <si>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</si>
  <si>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</si>
  <si>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</si>
  <si>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</si>
  <si>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</si>
  <si>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</si>
  <si>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</si>
  <si>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</si>
  <si>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</si>
  <si>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</si>
  <si>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</si>
  <si>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</si>
  <si>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</si>
  <si>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</si>
  <si>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</si>
  <si>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</si>
  <si>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</si>
  <si>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</si>
  <si>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</si>
  <si>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</si>
  <si>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</si>
  <si>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</si>
  <si>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</si>
  <si>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</si>
  <si>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</si>
  <si>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</si>
  <si>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</si>
  <si>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</si>
  <si>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</si>
  <si>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</si>
  <si>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</si>
  <si>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</si>
  <si>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</si>
  <si>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</si>
  <si>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</si>
  <si>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</si>
  <si>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</si>
  <si>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</si>
  <si>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</si>
  <si>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</si>
  <si>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</si>
  <si>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</si>
  <si>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</si>
  <si>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</si>
  <si>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</si>
  <si>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</si>
  <si>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</si>
  <si>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</si>
  <si>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</si>
  <si>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</si>
  <si>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</si>
  <si>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</si>
  <si>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</si>
  <si>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</si>
  <si>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</si>
  <si>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</si>
  <si>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</si>
  <si>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</si>
  <si>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</si>
  <si>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</si>
  <si>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</si>
  <si>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</si>
  <si>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</si>
  <si>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</si>
  <si>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</si>
  <si>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</si>
  <si>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</si>
  <si>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</si>
  <si>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</si>
  <si>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</si>
  <si>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</si>
  <si>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</si>
  <si>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</si>
  <si>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</si>
  <si>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</si>
  <si>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</si>
  <si>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</si>
  <si>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</si>
  <si>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</si>
  <si>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</si>
  <si>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</si>
  <si>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</si>
  <si>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</si>
  <si>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</si>
  <si>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</si>
  <si>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</si>
  <si>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</si>
  <si>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</si>
  <si>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</si>
  <si>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</si>
  <si>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</si>
  <si>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</si>
  <si>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</si>
  <si>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</si>
  <si>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</si>
  <si>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</si>
  <si>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</si>
  <si>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</si>
  <si>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</si>
  <si>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</si>
  <si>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</si>
  <si>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</si>
  <si>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</si>
  <si>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</si>
  <si>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</si>
  <si>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</si>
  <si>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</si>
  <si>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</si>
  <si>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</si>
  <si>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</si>
  <si>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</si>
  <si>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</si>
  <si>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</si>
  <si>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</si>
  <si>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</si>
  <si>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</si>
  <si>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</si>
  <si>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</si>
  <si>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</si>
  <si>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</si>
  <si>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</si>
  <si>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</si>
  <si>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</si>
  <si>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</si>
  <si>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</si>
  <si>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</si>
  <si>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</si>
  <si>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</si>
  <si>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</si>
  <si>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</si>
  <si>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</si>
  <si>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</si>
  <si>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</si>
  <si>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</si>
  <si>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</si>
  <si>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</si>
  <si>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</si>
  <si>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</si>
  <si>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</si>
  <si>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</si>
  <si>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</si>
  <si>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</si>
  <si>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</si>
  <si>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</si>
  <si>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</si>
  <si>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</si>
  <si>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</si>
  <si>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</si>
  <si>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</si>
  <si>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</si>
  <si>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</si>
  <si>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</si>
  <si>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</si>
  <si>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</si>
  <si>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</si>
  <si>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</si>
  <si>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</si>
  <si>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</si>
  <si>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</si>
  <si>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</si>
  <si>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</si>
  <si>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</si>
  <si>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</si>
  <si>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</si>
  <si>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</si>
  <si>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</si>
  <si>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</si>
  <si>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</si>
  <si>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</si>
  <si>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</si>
  <si>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</si>
  <si>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</si>
  <si>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</si>
  <si>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</si>
  <si>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</si>
  <si>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</si>
  <si>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</si>
  <si>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</si>
  <si>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</si>
  <si>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</si>
  <si>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</si>
  <si>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</si>
  <si>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</si>
  <si>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</si>
  <si>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</si>
  <si>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</si>
  <si>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</si>
  <si>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</si>
  <si>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</si>
  <si>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</si>
  <si>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</si>
  <si>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</si>
  <si>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</si>
  <si>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</si>
  <si>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</si>
  <si>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</si>
  <si>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</si>
  <si>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</si>
  <si>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</si>
  <si>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</si>
  <si>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</si>
  <si>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</si>
  <si>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</si>
  <si>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</si>
  <si>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</si>
  <si>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</si>
  <si>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</si>
  <si>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</si>
  <si>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</si>
  <si>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</si>
  <si>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</si>
  <si>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</si>
  <si>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</si>
  <si>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</si>
  <si>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</si>
  <si>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</si>
  <si>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</si>
  <si>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</si>
  <si>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</si>
  <si>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</si>
  <si>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</si>
  <si>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</si>
  <si>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</si>
  <si>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</si>
  <si>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</si>
  <si>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</si>
  <si>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</si>
  <si>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</si>
  <si>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</si>
  <si>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</si>
  <si>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</si>
  <si>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</si>
  <si>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</si>
  <si>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</si>
  <si>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</si>
  <si>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</si>
  <si>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</si>
  <si>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</si>
  <si>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</si>
  <si>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</si>
  <si>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</si>
  <si>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</si>
  <si>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</si>
  <si>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</si>
  <si>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</si>
  <si>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</si>
  <si>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</si>
  <si>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</si>
  <si>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</si>
  <si>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</si>
  <si>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</si>
  <si>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</si>
  <si>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</si>
  <si>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</si>
  <si>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</si>
  <si>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</si>
  <si>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</si>
  <si>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</si>
  <si>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</si>
  <si>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</si>
  <si>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</si>
  <si>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</si>
  <si>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</si>
  <si>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</si>
  <si>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</si>
  <si>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</si>
  <si>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</si>
  <si>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</si>
  <si>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</si>
  <si>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</si>
  <si>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</si>
  <si>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</si>
  <si>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</si>
  <si>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</si>
  <si>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</si>
  <si>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</si>
  <si>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</si>
  <si>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</si>
  <si>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</si>
  <si>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</si>
  <si>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</si>
  <si>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</si>
  <si>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</si>
  <si>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</si>
  <si>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</si>
  <si>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</si>
  <si>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</si>
  <si>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</si>
  <si>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</si>
  <si>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</si>
  <si>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</si>
  <si>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</si>
  <si>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</si>
  <si>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</si>
  <si>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</si>
  <si>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</si>
  <si>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</si>
  <si>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</si>
  <si>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</si>
  <si>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</si>
  <si>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</si>
  <si>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</si>
  <si>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</si>
  <si>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</si>
  <si>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</si>
  <si>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</si>
  <si>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</si>
  <si>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</si>
  <si>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</si>
  <si>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</si>
  <si>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</si>
  <si>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</si>
  <si>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</si>
  <si>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</si>
  <si>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</si>
  <si>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</si>
  <si>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</si>
  <si>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</si>
  <si>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</si>
  <si>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</si>
  <si>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</si>
  <si>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</si>
  <si>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</si>
  <si>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family val="2"/>
        <charset val="177"/>
      </rPr>
      <t xml:space="preserve"> בשיטה האלטרנטיבית שנקראת </t>
    </r>
    <r>
      <rPr>
        <u/>
        <sz val="12"/>
        <color theme="1"/>
        <rFont val="David"/>
        <family val="2"/>
        <charset val="177"/>
      </rPr>
      <t>הגישה / השיטה התמידית</t>
    </r>
    <r>
      <rPr>
        <sz val="12"/>
        <color theme="1"/>
        <rFont val="David"/>
        <family val="2"/>
        <charset val="177"/>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</si>
  <si>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</si>
  <si>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</si>
  <si>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</si>
  <si>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</si>
  <si>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</si>
  <si>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</si>
  <si>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</si>
  <si>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</si>
  <si>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</si>
  <si>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</si>
  <si>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</si>
  <si>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</si>
  <si>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</si>
  <si>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</si>
  <si>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</si>
  <si>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</si>
  <si>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</si>
  <si>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</si>
  <si>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</si>
  <si>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</si>
  <si>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</si>
  <si>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</si>
  <si>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</si>
  <si>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</si>
  <si>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</si>
  <si>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</si>
  <si>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</si>
  <si>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</si>
  <si>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</si>
  <si>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</si>
  <si>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</si>
  <si>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</si>
  <si>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</si>
  <si>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</si>
  <si>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</si>
  <si>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</si>
  <si>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</si>
  <si>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</si>
  <si>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</si>
  <si>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</si>
  <si>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</si>
  <si>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</si>
  <si>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</si>
  <si>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</si>
  <si>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</si>
  <si>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</si>
  <si>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</si>
  <si>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</si>
  <si>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</si>
  <si>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</si>
  <si>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</si>
  <si>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</si>
  <si>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</si>
  <si>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</si>
  <si>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</si>
  <si>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</si>
  <si>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</si>
  <si>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</si>
  <si>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</si>
  <si>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</si>
  <si>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</si>
  <si>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</si>
  <si>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</si>
  <si>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</si>
  <si>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</si>
  <si>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</si>
  <si>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</si>
  <si>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</si>
  <si>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</si>
  <si>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</si>
  <si>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</si>
  <si>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</si>
  <si>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</si>
  <si>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</si>
  <si>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</si>
  <si>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</si>
  <si>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</si>
  <si>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</si>
  <si>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</si>
  <si>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</si>
  <si>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</si>
  <si>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</si>
  <si>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</si>
  <si>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</si>
  <si>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</si>
  <si>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</si>
  <si>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</si>
  <si>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</si>
  <si>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</si>
  <si>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</si>
  <si>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</si>
  <si>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</si>
  <si>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</si>
  <si>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</si>
  <si>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</si>
  <si>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</si>
  <si>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</si>
  <si>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</si>
  <si>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</si>
  <si>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</si>
  <si>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</si>
  <si>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</si>
  <si>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</si>
  <si>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</si>
  <si>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</si>
  <si>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</si>
  <si>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</si>
  <si>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</si>
  <si>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</si>
  <si>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</si>
  <si>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</si>
  <si>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</si>
  <si>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</si>
  <si>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</si>
  <si>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</si>
  <si>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</si>
  <si>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</si>
  <si>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</si>
  <si>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</si>
  <si>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</si>
  <si>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</si>
  <si>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</si>
  <si>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</si>
  <si>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</si>
  <si>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</si>
  <si>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</si>
  <si>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</si>
  <si>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</si>
  <si>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</si>
  <si>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</si>
  <si>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</si>
  <si>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</si>
  <si>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</si>
  <si>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</si>
  <si>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</si>
  <si>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</si>
  <si>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</si>
  <si>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</si>
  <si>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</si>
  <si>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</si>
  <si>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</si>
  <si>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</si>
  <si>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</si>
  <si>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</si>
  <si>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</si>
  <si>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</si>
  <si>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</si>
  <si>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</si>
  <si>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</si>
  <si>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</si>
  <si>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</si>
  <si>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</si>
  <si>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</si>
  <si>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</si>
  <si>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</si>
  <si>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</si>
  <si>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</si>
  <si>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</si>
  <si>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</si>
  <si>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</si>
  <si>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</si>
  <si>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</si>
  <si>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</si>
  <si>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</si>
  <si>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</si>
  <si>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</si>
  <si>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</si>
  <si>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</si>
  <si>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</si>
  <si>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</si>
  <si>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</si>
  <si>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</si>
  <si>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</si>
  <si>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</si>
  <si>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</si>
  <si>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</si>
  <si>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</si>
  <si>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</si>
  <si>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</si>
  <si>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</si>
  <si>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</si>
  <si>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</si>
  <si>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</si>
  <si>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</si>
  <si>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</si>
  <si>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</si>
  <si>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</si>
  <si>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</si>
  <si>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</si>
  <si>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</si>
  <si>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</si>
  <si>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</si>
  <si>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</si>
  <si>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</si>
  <si>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</si>
  <si>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</si>
  <si>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</si>
  <si>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</si>
  <si>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</si>
  <si>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</si>
  <si>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</si>
  <si>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</si>
  <si>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</si>
  <si>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</si>
  <si>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</si>
  <si>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family val="2"/>
        <charset val="177"/>
      </rPr>
      <t>לא תכלול</t>
    </r>
    <r>
      <rPr>
        <sz val="12"/>
        <color rgb="FF000000"/>
        <rFont val="David"/>
        <family val="2"/>
        <charset val="177"/>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</si>
  <si>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</si>
  <si>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</si>
  <si>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</si>
  <si>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</si>
  <si>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</si>
  <si>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family val="2"/>
        <charset val="177"/>
      </rPr>
      <t>עלות</t>
    </r>
    <r>
      <rPr>
        <sz val="12"/>
        <color rgb="FF000000"/>
        <rFont val="David"/>
        <family val="2"/>
        <charset val="177"/>
      </rPr>
      <t xml:space="preserve"> = עלות היסטורית, נשארת קבועה עד המכירה:</t>
    </r>
  </si>
  <si>
    <t>הוצאות פחת:</t>
  </si>
  <si>
    <r>
      <t xml:space="preserve">הוצאות הפחת מחושבות </t>
    </r>
    <r>
      <rPr>
        <b/>
        <sz val="12"/>
        <color rgb="FF000000"/>
        <rFont val="David"/>
        <family val="2"/>
        <charset val="177"/>
      </rPr>
      <t xml:space="preserve">בשיטת הקו הישר </t>
    </r>
    <r>
      <rPr>
        <sz val="12"/>
        <color rgb="FF000000"/>
        <rFont val="David"/>
        <family val="2"/>
        <charset val="177"/>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</si>
  <si>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</si>
  <si>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</si>
  <si>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</si>
  <si>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</si>
  <si>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family val="2"/>
        <charset val="177"/>
      </rPr>
      <t>שלמה</t>
    </r>
    <r>
      <rPr>
        <sz val="12"/>
        <color rgb="FF000000"/>
        <rFont val="David"/>
        <family val="2"/>
        <charset val="177"/>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</si>
  <si>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</si>
  <si>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family val="2"/>
        <charset val="177"/>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</si>
  <si>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</si>
  <si>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</si>
  <si>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</si>
  <si>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</si>
  <si>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</si>
  <si>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</si>
  <si>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</si>
  <si>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</si>
  <si>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</si>
  <si>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</si>
  <si>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</si>
  <si>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</si>
  <si>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</si>
  <si>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</si>
  <si>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</si>
  <si>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</si>
  <si>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</si>
  <si>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</si>
  <si>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</si>
  <si>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</si>
  <si>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</si>
  <si>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</si>
  <si>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</si>
  <si>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</si>
  <si>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</si>
  <si>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</si>
  <si>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</si>
  <si>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</si>
  <si>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</si>
  <si>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</si>
  <si>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</si>
  <si>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</si>
  <si>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</si>
  <si>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</si>
  <si>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</si>
  <si>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</si>
  <si>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</si>
  <si>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</si>
  <si>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</si>
  <si>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</si>
  <si>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</si>
  <si>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</si>
  <si>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</si>
  <si>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</si>
  <si>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</si>
  <si>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</si>
  <si>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</si>
  <si>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</si>
  <si>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</si>
  <si>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</si>
  <si>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</si>
  <si>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</si>
  <si>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</si>
  <si>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</si>
  <si>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</si>
  <si>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</si>
  <si>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</si>
  <si>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</si>
  <si>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</si>
  <si>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</si>
  <si>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</si>
  <si>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</si>
  <si>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</si>
  <si>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</si>
  <si>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</si>
  <si>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</si>
  <si>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</si>
  <si>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family val="2"/>
        <charset val="177"/>
      </rPr>
      <t>בשיטת הקו הישר</t>
    </r>
    <r>
      <rPr>
        <sz val="12"/>
        <color rgb="FF000000"/>
        <rFont val="David"/>
        <family val="2"/>
        <charset val="177"/>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</si>
  <si>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</si>
  <si>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</si>
  <si>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</si>
  <si>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</si>
  <si>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</si>
  <si>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</si>
  <si>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</si>
  <si>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</si>
  <si>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</si>
  <si>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</si>
  <si>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</si>
  <si>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</si>
  <si>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</si>
  <si>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</si>
  <si>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</si>
  <si>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family val="2"/>
        <charset val="177"/>
      </rPr>
      <t>סכום</t>
    </r>
  </si>
  <si>
    <r>
      <rPr>
        <b/>
        <sz val="12"/>
        <color rgb="FF000000"/>
        <rFont val="David"/>
        <family val="2"/>
        <charset val="177"/>
      </rPr>
      <t>ספרות השנים</t>
    </r>
    <r>
      <rPr>
        <sz val="12"/>
        <color rgb="FF000000"/>
        <rFont val="David"/>
        <family val="2"/>
        <charset val="177"/>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</si>
  <si>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</si>
  <si>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</si>
  <si>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</si>
  <si>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</si>
  <si>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</si>
  <si>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</si>
  <si>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</si>
  <si>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</si>
  <si>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</si>
  <si>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</si>
  <si>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</si>
  <si>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</si>
  <si>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</si>
  <si>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</si>
  <si>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</si>
  <si>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</si>
  <si>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</si>
  <si>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</si>
  <si>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</si>
  <si>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</si>
  <si>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</si>
  <si>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family val="2"/>
        <charset val="177"/>
      </rPr>
      <t>3</t>
    </r>
    <r>
      <rPr>
        <u/>
        <sz val="12"/>
        <color rgb="FF000000"/>
        <rFont val="David"/>
        <family val="2"/>
        <charset val="177"/>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</si>
  <si>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</si>
  <si>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family val="2"/>
        <charset val="177"/>
      </rPr>
      <t>9/12</t>
    </r>
    <r>
      <rPr>
        <sz val="12"/>
        <color rgb="FF000000"/>
        <rFont val="David"/>
        <family val="2"/>
        <charset val="177"/>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</si>
  <si>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</si>
  <si>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</si>
  <si>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</si>
  <si>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</si>
  <si>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</si>
  <si>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</si>
  <si>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</si>
  <si>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family val="2"/>
        <charset val="177"/>
      </rPr>
      <t>הנצבר</t>
    </r>
    <r>
      <rPr>
        <sz val="12"/>
        <color rgb="FF000000"/>
        <rFont val="David"/>
        <family val="2"/>
        <charset val="177"/>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</si>
  <si>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</si>
  <si>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</si>
  <si>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</si>
  <si>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</si>
  <si>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</si>
  <si>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</si>
  <si>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</si>
  <si>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</si>
  <si>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</si>
  <si>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</si>
  <si>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</si>
  <si>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</si>
  <si>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</si>
  <si>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</si>
  <si>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</si>
  <si>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</si>
  <si>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</si>
  <si>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</si>
  <si>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</si>
  <si>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family val="2"/>
        <charset val="177"/>
      </rPr>
      <t>הקו הישר</t>
    </r>
    <r>
      <rPr>
        <sz val="12"/>
        <color rgb="FF000000"/>
        <rFont val="David"/>
        <family val="2"/>
        <charset val="177"/>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</si>
  <si>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</si>
  <si>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</si>
  <si>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</si>
  <si>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</si>
  <si>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</si>
  <si>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</si>
  <si>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</si>
  <si>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</si>
  <si>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</si>
  <si>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</si>
  <si>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</si>
  <si>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</si>
  <si>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</si>
  <si>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</si>
  <si>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</si>
  <si>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</si>
  <si>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</si>
  <si>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</si>
  <si>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</si>
  <si>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</si>
  <si>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</si>
  <si>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</si>
  <si>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</si>
  <si>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</si>
  <si>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</si>
  <si>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</si>
  <si>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</si>
  <si>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</si>
  <si>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</si>
  <si>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</si>
  <si>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</si>
  <si>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</si>
  <si>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</si>
  <si>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</si>
  <si>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</si>
  <si>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</si>
  <si>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</si>
  <si>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</si>
  <si>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</si>
  <si>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</si>
  <si>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</si>
  <si>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</si>
  <si>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</si>
  <si>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</si>
  <si>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</si>
  <si>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</si>
  <si>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</si>
  <si>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</si>
  <si>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</si>
  <si>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</si>
  <si>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</si>
  <si>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</si>
  <si>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</si>
  <si>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</si>
  <si>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</si>
  <si>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</si>
  <si>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</si>
  <si>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</si>
  <si>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</si>
  <si>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</si>
  <si>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</si>
  <si>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</si>
  <si>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</si>
  <si>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</si>
  <si>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</si>
  <si>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</si>
  <si>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</si>
  <si>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</si>
  <si>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</si>
  <si>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</si>
  <si>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</si>
  <si>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</si>
  <si>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</si>
  <si>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</si>
  <si>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</si>
  <si>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</si>
  <si>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</si>
  <si>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</si>
  <si>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</si>
  <si>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</si>
  <si>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</si>
  <si>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</si>
  <si>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</si>
  <si>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</si>
  <si>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</si>
  <si>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</si>
  <si>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</si>
  <si>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</si>
  <si>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</si>
  <si>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</si>
  <si>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</si>
  <si>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</si>
  <si>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</si>
  <si>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</si>
  <si>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</si>
  <si>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</si>
  <si>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</si>
  <si>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</si>
  <si>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</si>
  <si>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</si>
  <si>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</si>
  <si>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</si>
  <si>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</si>
  <si>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</si>
  <si>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</si>
  <si>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</si>
  <si>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</si>
  <si>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</si>
  <si>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</si>
  <si>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</si>
  <si>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</si>
  <si>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</si>
  <si>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</si>
  <si>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</si>
  <si>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</si>
  <si>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</si>
  <si>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</si>
  <si>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</si>
  <si>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</si>
  <si>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</si>
  <si>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</si>
  <si>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</si>
  <si>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</si>
  <si>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</si>
  <si>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</si>
  <si>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</si>
  <si>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</si>
  <si>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</si>
  <si>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</si>
  <si>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</si>
  <si>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</si>
  <si>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</si>
  <si>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</si>
  <si>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</si>
  <si>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</si>
  <si>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</si>
  <si>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</si>
  <si>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</si>
  <si>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הון מניות מונפק ונפרע</t>
  </si>
  <si>
    <t>קרן הון - פרמיה</t>
  </si>
  <si>
    <t>יתרת רווח (עודפים)</t>
  </si>
  <si>
    <t>הערות:</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</si>
  <si>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</si>
  <si>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</si>
  <si>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</si>
  <si>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</si>
  <si>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</si>
  <si>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</si>
  <si>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</si>
  <si>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כלל השינויים בהון המניות והפרמיה נובעים מהנפקת מניות במזומן במהלך שנת 2024.</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</si>
  <si>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</si>
  <si>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</si>
  <si>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</si>
  <si>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</si>
  <si>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</si>
  <si>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</si>
  <si>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</si>
  <si>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</si>
  <si>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</si>
  <si>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</si>
  <si>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</si>
  <si>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</si>
  <si>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</si>
  <si>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</si>
  <si>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</si>
  <si>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</si>
  <si>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</si>
  <si>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</si>
  <si>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</si>
  <si>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</si>
  <si>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</si>
  <si>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</si>
  <si>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</si>
  <si>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</si>
  <si>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</si>
  <si>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</si>
  <si>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</si>
  <si>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</si>
  <si>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</si>
  <si>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</si>
  <si>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family val="2"/>
        <charset val="177"/>
      </rPr>
      <t>התמורה</t>
    </r>
    <r>
      <rPr>
        <sz val="12"/>
        <color rgb="FF000000"/>
        <rFont val="David"/>
        <family val="2"/>
        <charset val="177"/>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</si>
  <si>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</si>
  <si>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</si>
  <si>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</si>
  <si>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</si>
  <si>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</si>
  <si>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</si>
  <si>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</si>
  <si>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</si>
  <si>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</si>
  <si>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</si>
  <si>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</si>
  <si>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</si>
  <si>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</si>
  <si>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</si>
  <si>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</si>
  <si>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</si>
  <si>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</si>
  <si>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</si>
  <si>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</si>
  <si>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</si>
  <si>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</si>
  <si>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</si>
  <si>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</si>
  <si>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</si>
  <si>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</si>
  <si>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</si>
  <si>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</si>
  <si>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</si>
  <si>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</si>
  <si>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</si>
  <si>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</si>
  <si>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</si>
  <si>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</si>
  <si>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</si>
  <si>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</si>
  <si>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</si>
  <si>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</si>
  <si>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</si>
  <si>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</si>
  <si>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</si>
  <si>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</si>
  <si>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</si>
  <si>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</si>
  <si>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family val="2"/>
        <charset val="177"/>
      </rPr>
      <t xml:space="preserve">שיעור הדיבידנד באחוזים </t>
    </r>
    <r>
      <rPr>
        <sz val="12"/>
        <color rgb="FF000000"/>
        <rFont val="David"/>
        <family val="2"/>
        <charset val="177"/>
      </rPr>
      <t>ב</t>
    </r>
    <r>
      <rPr>
        <b/>
        <sz val="12"/>
        <color rgb="FF000000"/>
        <rFont val="David"/>
        <family val="2"/>
        <charset val="177"/>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</si>
  <si>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</si>
  <si>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</si>
  <si>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</si>
  <si>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</si>
  <si>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</si>
  <si>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</si>
  <si>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</si>
  <si>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</si>
  <si>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</si>
  <si>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</si>
  <si>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</si>
  <si>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</si>
  <si>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</si>
  <si>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</si>
  <si>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</si>
  <si>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</si>
  <si>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</si>
  <si>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</si>
  <si>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</si>
  <si>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</si>
  <si>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</si>
  <si>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</si>
  <si>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</si>
  <si>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</si>
  <si>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</si>
  <si>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</si>
  <si>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t>ג. נאחד את סעיפי הון המניות והפרמיה.</t>
  </si>
  <si>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</si>
  <si>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</si>
  <si>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</si>
  <si>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</si>
  <si>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</si>
  <si>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</si>
  <si>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</si>
  <si>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</si>
  <si>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</si>
  <si>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</si>
  <si>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</si>
  <si>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</si>
  <si>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עלייה בספקים</t>
  </si>
  <si>
    <t xml:space="preserve">י. רכישת השקעות (למשל, השקעות למסחר, השקעות ברכוש קבוע) במזומן מקבלת ביטוי כתזרים שלילי בפעילות השקעה. </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</si>
  <si>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</si>
  <si>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</si>
  <si>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</si>
  <si>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</si>
  <si>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</si>
  <si>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</si>
  <si>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</si>
  <si>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</si>
  <si>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</si>
  <si>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</si>
  <si>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</si>
  <si>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</si>
  <si>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</si>
  <si>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</si>
  <si>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</si>
  <si>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</si>
  <si>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</si>
  <si>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</si>
  <si>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</si>
  <si>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</si>
  <si>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</si>
  <si>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</si>
  <si>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</si>
  <si>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</si>
  <si>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</si>
  <si>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</si>
  <si>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</si>
  <si>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</si>
  <si>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</si>
  <si>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</si>
  <si>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</si>
  <si>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</si>
  <si>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</si>
  <si>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</si>
  <si>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</si>
  <si>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</si>
  <si>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</si>
  <si>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</si>
  <si>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</si>
  <si>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</si>
  <si>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</si>
  <si>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</si>
  <si>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</si>
  <si>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</si>
  <si>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</si>
  <si>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</si>
  <si>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</si>
  <si>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</si>
  <si>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</si>
  <si>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</si>
  <si>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</si>
  <si>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</si>
  <si>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</si>
  <si>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</si>
  <si>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</si>
  <si>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</si>
  <si>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</si>
  <si>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</si>
  <si>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</si>
  <si>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</si>
  <si>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</si>
  <si>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</si>
  <si>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</si>
  <si>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</si>
  <si>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</si>
  <si>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</si>
  <si>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</si>
  <si>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</si>
  <si>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</si>
  <si>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</si>
  <si>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</si>
  <si>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</si>
  <si>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</si>
  <si>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</si>
  <si>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</si>
  <si>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</si>
  <si>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</si>
  <si>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</si>
  <si>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</si>
  <si>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</si>
  <si>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</si>
  <si>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</si>
  <si>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</si>
  <si>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</si>
  <si>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</si>
  <si>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</si>
  <si>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</si>
  <si>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</si>
  <si>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</si>
  <si>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</si>
  <si>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</si>
  <si>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</si>
  <si>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</si>
  <si>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</si>
  <si>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</si>
  <si>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</si>
  <si>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</si>
  <si>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</si>
  <si>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</si>
  <si>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</si>
  <si>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</si>
  <si>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</si>
  <si>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</si>
  <si>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</si>
  <si>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</si>
  <si>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</si>
  <si>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</si>
  <si>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</si>
  <si>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</si>
  <si>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</si>
  <si>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</si>
  <si>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family val="2"/>
        <charset val="177"/>
      </rPr>
      <t>במידה ולא היו מכירות של רכוש קבוע</t>
    </r>
    <r>
      <rPr>
        <sz val="10"/>
        <color rgb="FF000000"/>
        <rFont val="David"/>
        <family val="2"/>
        <charset val="177"/>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</si>
  <si>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</si>
  <si>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</si>
  <si>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family val="2"/>
        <charset val="177"/>
      </rPr>
      <t>מכרה החברה מכונה לחימום נקניק</t>
    </r>
    <r>
      <rPr>
        <sz val="10"/>
        <color rgb="FF000000"/>
        <rFont val="David"/>
        <family val="2"/>
        <charset val="177"/>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</si>
  <si>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</si>
  <si>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</si>
  <si>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</si>
  <si>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</si>
  <si>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 xml:space="preserve">50,000 - 18,000 = </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</si>
  <si>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</si>
  <si>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</si>
  <si>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</si>
  <si>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</si>
  <si>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</si>
  <si>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</si>
  <si>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</si>
  <si>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</si>
  <si>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</si>
  <si>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</si>
  <si>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</si>
  <si>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</si>
  <si>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</si>
  <si>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</si>
  <si>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</si>
  <si>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</si>
  <si>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</si>
  <si>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</si>
  <si>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</si>
  <si>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</si>
  <si>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</si>
  <si>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</si>
  <si>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</si>
  <si>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</si>
  <si>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</si>
  <si>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</si>
  <si>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</si>
  <si>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</si>
  <si>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</si>
  <si>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</si>
  <si>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</si>
  <si>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</si>
  <si>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</si>
  <si>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</si>
  <si>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</si>
  <si>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</si>
  <si>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</si>
  <si>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</si>
  <si>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</si>
  <si>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</si>
  <si>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</si>
  <si>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</si>
  <si>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</si>
  <si>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</si>
  <si>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</si>
  <si>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</si>
  <si>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</si>
  <si>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</si>
  <si>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</si>
  <si>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</si>
  <si>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</si>
  <si>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</si>
  <si>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</si>
  <si>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</si>
  <si>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</si>
  <si>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</si>
  <si>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</si>
  <si>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</si>
  <si>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</si>
  <si>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</si>
  <si>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</si>
  <si>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</si>
  <si>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</si>
  <si>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</si>
  <si>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</si>
  <si>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</si>
  <si>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</si>
  <si>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</si>
  <si>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</si>
  <si>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</si>
  <si>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</si>
  <si>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</si>
  <si>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</si>
  <si>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</si>
  <si>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</si>
  <si>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</si>
  <si>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</si>
  <si>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</si>
  <si>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</si>
  <si>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</si>
  <si>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</si>
  <si>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</si>
  <si>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</si>
  <si>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</si>
  <si>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</si>
  <si>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</si>
  <si>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</si>
  <si>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</si>
  <si>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</si>
  <si>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</si>
  <si>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</si>
  <si>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</si>
  <si>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</si>
  <si>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</si>
  <si>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</si>
  <si>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</si>
  <si>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</si>
  <si>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</si>
  <si>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</si>
  <si>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</si>
  <si>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</si>
  <si>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</si>
  <si>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</si>
  <si>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</si>
  <si>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</si>
  <si>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</si>
  <si>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</si>
  <si>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</si>
  <si>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</si>
  <si>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</si>
  <si>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</si>
  <si>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</si>
  <si>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</si>
  <si>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</si>
  <si>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</si>
  <si>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</si>
  <si>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</si>
  <si>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</si>
  <si>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</si>
  <si>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</si>
  <si>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</si>
  <si>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</si>
  <si>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</si>
  <si>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</si>
  <si>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</si>
  <si>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</si>
  <si>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</si>
  <si>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</si>
  <si>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</si>
  <si>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</si>
  <si>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</si>
  <si>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</si>
  <si>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</si>
  <si>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</si>
  <si>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</si>
  <si>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</si>
  <si>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</si>
  <si>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</si>
  <si>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</si>
  <si>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</si>
  <si>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</si>
  <si>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</si>
  <si>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</si>
  <si>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</si>
  <si>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</si>
  <si>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</si>
  <si>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</si>
  <si>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</si>
  <si>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</si>
  <si>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</si>
  <si>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</si>
  <si>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</si>
  <si>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</si>
  <si>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</si>
  <si>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</si>
  <si>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</si>
  <si>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</si>
  <si>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</si>
  <si>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</si>
  <si>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</si>
  <si>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</si>
  <si>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</si>
  <si>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</si>
  <si>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</si>
  <si>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</si>
  <si>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</si>
  <si>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</si>
  <si>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</si>
  <si>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</si>
  <si>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</si>
  <si>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</si>
  <si>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</si>
  <si>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</si>
  <si>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</si>
  <si>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</si>
  <si>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</si>
  <si>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</si>
  <si>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</si>
  <si>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</si>
  <si>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</si>
  <si>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</si>
  <si>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</si>
  <si>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</si>
  <si>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</si>
  <si>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</si>
  <si>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</si>
  <si>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</si>
  <si>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</si>
  <si>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</si>
  <si>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</si>
  <si>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</si>
  <si>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</si>
  <si>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</si>
  <si>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</si>
  <si>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</si>
  <si>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</si>
  <si>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</si>
  <si>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</si>
  <si>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</si>
  <si>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</si>
  <si>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</si>
  <si>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</si>
  <si>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</si>
  <si>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</si>
  <si>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</si>
  <si>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</si>
  <si>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</si>
  <si>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</si>
  <si>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</si>
  <si>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</si>
  <si>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</si>
  <si>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</si>
  <si>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</si>
  <si>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family val="2"/>
        <charset val="177"/>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</si>
  <si>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</si>
  <si>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</si>
  <si>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</si>
  <si>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</si>
  <si>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</si>
  <si>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</si>
  <si>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</si>
  <si>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</si>
  <si>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</si>
  <si>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</si>
  <si>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</si>
  <si>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</si>
  <si>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</si>
  <si>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</si>
  <si>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</si>
  <si>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</si>
  <si>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</si>
  <si>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</si>
  <si>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</si>
  <si>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</si>
  <si>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</si>
  <si>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</si>
  <si>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</si>
  <si>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</si>
  <si>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</si>
  <si>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</si>
  <si>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</si>
  <si>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</si>
  <si>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</si>
  <si>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</si>
  <si>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</si>
  <si>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</si>
  <si>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</si>
  <si>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</si>
  <si>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</si>
  <si>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</si>
  <si>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</si>
  <si>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</si>
  <si>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</si>
  <si>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</si>
  <si>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</si>
  <si>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</si>
  <si>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</si>
  <si>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</si>
  <si>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</si>
  <si>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</si>
  <si>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</si>
  <si>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</si>
  <si>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</si>
  <si>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</si>
  <si>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</si>
  <si>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</si>
  <si>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</si>
  <si>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מפגש 3 - הדוח על השינויים בהון העצמי ותחילת הדוח על תזרימי המזומנים</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</si>
  <si>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</si>
  <si>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</si>
  <si>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</si>
  <si>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</si>
  <si>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family val="2"/>
        <charset val="177"/>
      </rPr>
      <t>הלוואות</t>
    </r>
    <r>
      <rPr>
        <sz val="12"/>
        <color rgb="FF000000"/>
        <rFont val="David"/>
        <family val="2"/>
        <charset val="177"/>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</si>
  <si>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</si>
  <si>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</si>
  <si>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</si>
  <si>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</si>
  <si>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</si>
  <si>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</si>
  <si>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</si>
  <si>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</si>
  <si>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</si>
  <si>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</si>
  <si>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</si>
  <si>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</si>
  <si>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</si>
  <si>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</si>
  <si>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</si>
  <si>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</si>
  <si>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</si>
  <si>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</si>
  <si>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</si>
  <si>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</si>
  <si>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</si>
  <si>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</si>
  <si>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</si>
  <si>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</si>
  <si>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</si>
  <si>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</si>
  <si>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</si>
  <si>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</si>
  <si>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</si>
  <si>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</si>
  <si>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</si>
  <si>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</si>
  <si>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family val="2"/>
        <charset val="177"/>
      </rPr>
      <t>(3.6/3.5)</t>
    </r>
    <r>
      <rPr>
        <sz val="12"/>
        <color rgb="FF000000"/>
        <rFont val="David"/>
        <family val="2"/>
        <charset val="177"/>
      </rPr>
      <t xml:space="preserve"> =</t>
    </r>
  </si>
  <si>
    <r>
      <t xml:space="preserve">500,000 * 9/10 * (1 + 4%) * </t>
    </r>
    <r>
      <rPr>
        <sz val="12"/>
        <color rgb="FFFF0000"/>
        <rFont val="David"/>
        <family val="2"/>
        <charset val="177"/>
      </rPr>
      <t>(3.72/3.5)</t>
    </r>
    <r>
      <rPr>
        <sz val="12"/>
        <color rgb="FF000000"/>
        <rFont val="David"/>
        <family val="2"/>
        <charset val="177"/>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</si>
  <si>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</si>
  <si>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</si>
  <si>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</si>
  <si>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</si>
  <si>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</si>
  <si>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</si>
  <si>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</si>
  <si>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</si>
  <si>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</si>
  <si>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</si>
  <si>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</si>
  <si>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</si>
  <si>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</si>
  <si>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</si>
  <si>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</si>
  <si>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</si>
  <si>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</si>
  <si>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</si>
  <si>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</si>
  <si>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</si>
  <si>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</si>
  <si>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</si>
  <si>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</si>
  <si>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</si>
  <si>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</si>
  <si>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</si>
  <si>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</si>
  <si>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</si>
  <si>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</si>
  <si>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</si>
  <si>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</si>
  <si>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</si>
  <si>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</si>
  <si>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</si>
  <si>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</si>
  <si>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</si>
  <si>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</si>
  <si>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</si>
  <si>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</si>
  <si>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</si>
  <si>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</si>
  <si>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</si>
  <si>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</si>
  <si>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</si>
  <si>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</si>
  <si>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</si>
  <si>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</si>
  <si>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</si>
  <si>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</si>
  <si>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</si>
  <si>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</si>
  <si>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</si>
  <si>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</si>
  <si>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</si>
  <si>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</si>
  <si>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</si>
  <si>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</si>
  <si>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</si>
  <si>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</si>
  <si>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</si>
  <si>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</si>
  <si>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</si>
  <si>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</si>
  <si>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</si>
  <si>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</si>
  <si>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</si>
  <si>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</si>
  <si>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</si>
  <si>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</si>
  <si>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</si>
  <si>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</si>
  <si>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</si>
  <si>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</si>
  <si>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</si>
  <si>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</si>
  <si>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</si>
  <si>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</si>
  <si>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</si>
  <si>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</si>
  <si>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</si>
  <si>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</si>
  <si>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</si>
  <si>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</si>
  <si>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</si>
  <si>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</si>
  <si>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</si>
  <si>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</si>
  <si>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</si>
  <si>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</si>
  <si>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</si>
  <si>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</si>
  <si>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</si>
  <si>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</si>
  <si>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</si>
  <si>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</si>
  <si>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</si>
  <si>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</si>
  <si>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</si>
  <si>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</si>
  <si>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</si>
  <si>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</si>
  <si>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</si>
  <si>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</si>
  <si>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</si>
  <si>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</si>
  <si>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</si>
  <si>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</si>
  <si>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</si>
  <si>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</si>
  <si>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</si>
  <si>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</si>
  <si>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</si>
  <si>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</si>
  <si>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</si>
  <si>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</si>
  <si>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</si>
  <si>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</si>
  <si>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</si>
  <si>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</si>
  <si>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</si>
  <si>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</si>
  <si>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</si>
  <si>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</si>
  <si>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</si>
  <si>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</si>
  <si>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family val="2"/>
        <charset val="177"/>
      </rPr>
      <t>,</t>
    </r>
    <r>
      <rPr>
        <sz val="12"/>
        <color theme="1"/>
        <rFont val="David"/>
        <family val="2"/>
        <charset val="177"/>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</si>
  <si>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</si>
  <si>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</si>
  <si>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</si>
  <si>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</si>
  <si>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</si>
  <si>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</si>
  <si>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</si>
  <si>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</si>
  <si>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</si>
  <si>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</si>
  <si>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</si>
  <si>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</si>
  <si>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</si>
  <si>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</si>
  <si>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</si>
  <si>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</si>
  <si>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</si>
  <si>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</si>
  <si>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</si>
  <si>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</si>
  <si>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</si>
  <si>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</si>
  <si>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</si>
  <si>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</si>
  <si>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</si>
  <si>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</si>
  <si>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</si>
  <si>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</si>
  <si>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</si>
  <si>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</si>
  <si>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</si>
  <si>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</si>
  <si>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</si>
  <si>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</si>
  <si>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</si>
  <si>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</si>
  <si>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</si>
  <si>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</si>
  <si>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</si>
  <si>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</si>
  <si>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</si>
  <si>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</si>
  <si>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</si>
  <si>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</si>
  <si>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</si>
  <si>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</si>
  <si>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</si>
  <si>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</si>
  <si>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</si>
  <si>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</si>
  <si>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</si>
  <si>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</si>
  <si>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</si>
  <si>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</si>
  <si>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</si>
  <si>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</si>
  <si>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</si>
  <si>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</si>
  <si>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</si>
  <si>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</si>
  <si>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</si>
  <si>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</si>
  <si>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</si>
  <si>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</si>
  <si>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</si>
  <si>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</si>
  <si>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</si>
  <si>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</si>
  <si>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</si>
  <si>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</si>
  <si>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</si>
  <si>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</si>
  <si>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</si>
  <si>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</si>
  <si>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</si>
  <si>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</si>
  <si>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</si>
  <si>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</si>
  <si>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</si>
  <si>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</si>
  <si>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</si>
  <si>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</si>
  <si>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</si>
  <si>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</si>
  <si>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</si>
  <si>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</si>
  <si>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</si>
  <si>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</si>
  <si>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</si>
  <si>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</si>
  <si>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</si>
  <si>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</si>
  <si>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</si>
  <si>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</si>
  <si>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</si>
  <si>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</si>
  <si>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</si>
  <si>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</si>
  <si>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</si>
  <si>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</si>
  <si>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</si>
  <si>
    <t>מפגש 4 - תזרימי מזומנים</t>
  </si>
  <si>
    <t>תזכורת קלה - הדוח על תזרימי המזומנים הוא דוח כספי שנועד להמיר את נתוני רווח והפסד הבסיסיים, שנרשמים לפי בסיס צבירה,</t>
  </si>
  <si>
    <t xml:space="preserve">כלומר לפי עיתוי עסקאות - למונחי מזומן, כלומר - להבין בדיוק מהו היקף המזומנים שנבע / שימש מפעילות שוטפת, השקעה, מימון. </t>
  </si>
  <si>
    <t>באופן כללי - פעילות שוטפת היא רווח נקי, לאחר התאמות בגין הכנסות והוצאות שאינן במזומן, ושינויים בסעיפים כגון לקוחות, מלאי,</t>
  </si>
  <si>
    <t>חייבים, ספקים וזכאים.</t>
  </si>
  <si>
    <t xml:space="preserve">פעילות מימון קשורה להלוואות, אגרות חוב, הנפקת מניות במזומן, הנפקת כתבי אופציה - ומן העבר השני - חלוקת דיבידנד. </t>
  </si>
  <si>
    <t xml:space="preserve">פעילות השקעה קשורה לרכישת השקעות ומכירתן (רכוש קבוע, נדל״ן להשקעה, ניירות ערך, נכסים בלתי מוחשיים). </t>
  </si>
  <si>
    <t>התהליך הטכני של עריכת הדיווחים כולל:</t>
  </si>
  <si>
    <t>בשלב ראשון - עורכים גיליון עבודה, בתוכו מנתחים את השינויים בסעיפים השונים, ומשייכים את השינויים לפעילות שוטפת/השקעה/מימון.</t>
  </si>
  <si>
    <t>בשלב השני - משתמשים בגיליון העבודה כדי להזין את ערכיו בצורה מסודרת, מקובלת, לדוח על תזרימי המזומנים עצמו (שרק הוא מזכה בניקוד).</t>
  </si>
  <si>
    <t>תרגיל ראשון בנושא פתרנו כבר בסוף השיעור הקודם. היום נרחיב. לאחר מפגש זה אתם אמורים להיות מסוגלים להתמודד עם כל שאלות</t>
  </si>
  <si>
    <t xml:space="preserve">המטלה. </t>
  </si>
  <si>
    <t>הסברים מפורטים לסעיפים מורכבים:</t>
  </si>
  <si>
    <t>הפסדי הון</t>
  </si>
  <si>
    <t>סימן</t>
  </si>
  <si>
    <t>כנגד סעיף האשראי +</t>
  </si>
  <si>
    <t>יישום - קרקע - עלות</t>
  </si>
  <si>
    <t>אין נתוני מכירה לכן אין רוו״ה הון במכירה.</t>
  </si>
  <si>
    <r>
      <t xml:space="preserve">ב. במהלך השנה </t>
    </r>
    <r>
      <rPr>
        <b/>
        <u/>
        <sz val="10"/>
        <color rgb="FFFF0000"/>
        <rFont val="David"/>
        <family val="2"/>
        <charset val="177"/>
      </rPr>
      <t>מכרה החברה מכונה לחימום נקניק</t>
    </r>
    <r>
      <rPr>
        <b/>
        <u/>
        <sz val="10"/>
        <color rgb="FF000000"/>
        <rFont val="David"/>
        <family val="2"/>
        <charset val="177"/>
      </rPr>
      <t xml:space="preserve"> שעלותה 50,000 ש״ח והפחת הנצבר בגינה 18,000 ש״ח תמורת 37,000 ש״ח. כמו כן,</t>
    </r>
  </si>
  <si>
    <t>רכוש קבוע (נטו):</t>
  </si>
  <si>
    <t>חישובי עזר נוספים - תבנית:</t>
  </si>
  <si>
    <t>עלות (ברוטו)</t>
  </si>
  <si>
    <t xml:space="preserve">פחת נצבר </t>
  </si>
  <si>
    <t>עלות הנמכר</t>
  </si>
  <si>
    <t>בערך מוחלט</t>
  </si>
  <si>
    <t>פחנ״צ שנמכר</t>
  </si>
  <si>
    <t>רכוש קבוע (נטו) - יישום:</t>
  </si>
  <si>
    <t>בגין פריט שנמכר</t>
  </si>
  <si>
    <t>רווח או הפסד ההון מחושב לפי ההפרש שבין תמורת המכירה לבין העלות המופחתת (עלות בניכוי פחת נצבר) של הפריט שנמכר.</t>
  </si>
  <si>
    <t>תמורת המכירה:</t>
  </si>
  <si>
    <t>עלות מופחתת של הפריט הנמכר:</t>
  </si>
  <si>
    <t>הפרש חיובי - רווח הון:</t>
  </si>
  <si>
    <t>דיבידנדים והשפעות על עודפים ודיבידנד לשלם:</t>
  </si>
  <si>
    <t>עודפים (יתרת רווח)</t>
  </si>
  <si>
    <t>הפסד נקי</t>
  </si>
  <si>
    <t>דיבידנד שהוכרז וטרם שולם</t>
  </si>
  <si>
    <t>דיבידנד שהוכרז ושולם</t>
  </si>
  <si>
    <t>הסעיף</t>
  </si>
  <si>
    <t>תשלום י.פ.</t>
  </si>
  <si>
    <t>דיבידנדים והשפעתם על עודפים ודיבידנד לשלם (כאן אין יתרות דיבידנד לשלם לכן הטבלה השמאלית לא רלוונטית):</t>
  </si>
  <si>
    <t>סך תזרים: פ. שוטפת + השקעה + מימון: 26,000</t>
  </si>
  <si>
    <t>סך השינוי במזומן</t>
  </si>
  <si>
    <t>הנפקת כתבי אופציה</t>
  </si>
  <si>
    <t>כאשר חברה מנפיקה כתבי אופציה, או כל מכשיר פיננסי אחר בתמורה למזומן (לרבות הנפקת מניות, אגרות חוב)</t>
  </si>
  <si>
    <t xml:space="preserve">אזי תזרים המזומנים החיובי שינבע מהאירוע ייזקף לתזרים מזומנים מפעילות מימון בסימן חיובי. </t>
  </si>
  <si>
    <t>המחשה:</t>
  </si>
  <si>
    <t>ידוע שיתרת כתבי האופציה לתום שנה קודמת היא 20, לתום השנה הנוכחית היא 60, וקיים נתון נוסף לפיו:</t>
  </si>
  <si>
    <t>במהלך השנה הנפיקה החברה 10 כתבי אופציה מסדרה ג תמורת 4 ש״ח לכל כתב אופציה. כתבי האופציה ניתנים</t>
  </si>
  <si>
    <t>למימוש עד לתום השנה הבאה, כאשר כל כתב אופציה ימומש ל-6 מניות בנות 2 ש״ח ע״נ תמורת תוספת</t>
  </si>
  <si>
    <t>מימוש של 20 ש״ח לכל כתב אופציה.</t>
  </si>
  <si>
    <t>כתבי אופציה</t>
  </si>
  <si>
    <t>הנפקת כתבי אופ׳</t>
  </si>
  <si>
    <t>הוצאות נדחות, נטו</t>
  </si>
  <si>
    <t>קרן הון - פרמיה על מניות</t>
  </si>
  <si>
    <t xml:space="preserve">הוצאות נדחות הופחתו בסכום של 10 אלפי ש״ח. במהלך השנה החברה </t>
  </si>
  <si>
    <t xml:space="preserve">השקיעה בהוצאות נדחות נוספות. </t>
  </si>
  <si>
    <t>הסברים נוספים לתהליך העבודה בשאלה:</t>
  </si>
  <si>
    <t>מזומנים</t>
  </si>
  <si>
    <t>מכונות, נטו</t>
  </si>
  <si>
    <t>שינוי במזומנים</t>
  </si>
  <si>
    <t>עלייה באשראי ז״ק</t>
  </si>
  <si>
    <t>הפחתת הוצ׳</t>
  </si>
  <si>
    <t>השקעה</t>
  </si>
  <si>
    <t>הסברים נוספים לסעיפים ספציפיים:</t>
  </si>
  <si>
    <t xml:space="preserve">הוצאות נדחות - השקעות כגון מחקר ופיתוח שמהוות נכס, אשר יוכר כהוצאה רק בהמשך (לאחר שהפרויקט יסתיים, בדרך של הפחתה). </t>
  </si>
  <si>
    <t>לכן, הפחתת ההוצאות הנדחות פועלת בהיבט זה כמו הוצאות פחת של רכוש קבוע - שאינן בגדר תזרים יוצא, לכן בגינן התאמה חיובית</t>
  </si>
  <si>
    <t>לפעילות שוטפת, ומנגד - סכומים שהושקעו בהוצאות נדחות הם תזרים שלילי לפעילות השקעה.</t>
  </si>
  <si>
    <t xml:space="preserve">כאן: יצאנו מהוצ׳ נדחות 23, הפחתנו מהן 10 כלומר היתרה 13, ואם ידוע שהערך הסופי 18, סימן שבוצעה השקעה נוספת בסך 5. </t>
  </si>
  <si>
    <t>מכונות, נטו - למרות שעקרונית אין שום בעיה ״לפתוח״ את הדיון כפי שבוצע בתבנית העבודה המלאה שנכללה בפתרון השאלה הקודמת,</t>
  </si>
  <si>
    <t>כאן ספציפית קיים מקרה מאד פשוט שלא כלל מכירות רכוש קבוע (ורווח הון), לא כלל קניה באשראי או כנגד מניות של רכוש קבוע.</t>
  </si>
  <si>
    <t>לפיכך, השינויים הם פשוטים ומעטים, ואפשר לקצר את התהליך: הוצאות הפחת במקרה כזה הן ההפרש הפשוט בין פחת נצבר יתרת</t>
  </si>
  <si>
    <t xml:space="preserve">סגירה ליתרת פתיחה - וכאן נתון שהפחת הנצבר עלה מ-10 ל-15. </t>
  </si>
  <si>
    <t xml:space="preserve">וסך הקניות במזומן שתזקפנה לפעילות השקעה הן העלייה בעלות הרכוש הקבוע מ-40 ל-90. </t>
  </si>
  <si>
    <t>רכישת מכונות</t>
  </si>
  <si>
    <t>נטילת הלוואות ז״ק</t>
  </si>
  <si>
    <t>פירעון הלוואה לז״א</t>
  </si>
  <si>
    <t xml:space="preserve">במהלך השנה החברה הכריזה דיבידנד בסכום של 170 אלפי ש״ח. </t>
  </si>
  <si>
    <t>דיב׳ שהוכרז ושולם - סך הדיבידנד בניכוי הרכיב שטרם שולם כלומר 170 בניכוי 115</t>
  </si>
  <si>
    <t>תשלום דיב׳</t>
  </si>
  <si>
    <t>הוכרז וטרם שולם</t>
  </si>
  <si>
    <t>תשלום דיב׳ שהוכרז</t>
  </si>
  <si>
    <t>מזומנים ושווי מזומנים ששימשו לפעילות מימון</t>
  </si>
  <si>
    <t>פעולות מהותיות שאינן במזומן:</t>
  </si>
  <si>
    <t>הכנסות והוצאות שאינן במזומן</t>
  </si>
  <si>
    <t>שינויים בסעיפי נכסים והתחייבויות</t>
  </si>
  <si>
    <t>הפחתת הוצאות נדחות</t>
  </si>
  <si>
    <t>הוצאות פחת רכוש קבוע</t>
  </si>
  <si>
    <t>השקעה בהוצאות נדחות, נטו</t>
  </si>
  <si>
    <t xml:space="preserve">רכישת מכונות </t>
  </si>
  <si>
    <t>עלייה באשראי לזמן קצר</t>
  </si>
  <si>
    <t>נטילת הלוואות לזמן קצר</t>
  </si>
  <si>
    <r>
      <t xml:space="preserve">תשלום דיבידנד </t>
    </r>
    <r>
      <rPr>
        <sz val="10"/>
        <color theme="1"/>
        <rFont val="David"/>
        <family val="2"/>
        <charset val="177"/>
      </rPr>
      <t>(מצרף את שורת דיב׳ לשלם עם שורת העודפים)</t>
    </r>
  </si>
  <si>
    <t>במהלך השנה הוכרז אך טרם שולם דיבידנד בסכום של 115 א׳ ש״ח.</t>
  </si>
  <si>
    <t>ההתאמות הנדרשות על מנת להציג את תזרים המזומנים מפעילות שוטפת</t>
  </si>
  <si>
    <t>גיא זוילי בע״מ-הדוח על תזרימי המזומנים לשנה שנסתיימה ב-31/12/2024</t>
  </si>
  <si>
    <t>סוגיה נוספת - שאלות קצרות שכוללות צורך לחשב במהירות תזרימי מזומנים מפעילות שוטפת על סמך שינויים נתונים</t>
  </si>
  <si>
    <t>ככל ששאלת תזרים מזומנים בבחינה תהיה שאלה פתוחה - המבנה, הסגנון, הגישה לפתרון וגם המבחנים לדוגמה</t>
  </si>
  <si>
    <t xml:space="preserve">יהיו פחות או יותר במבנה שהוצג לעיל וטכניקת העבודה המתבקשת. </t>
  </si>
  <si>
    <t>לעומת זאת, כאשר אנו דנים בשאלות אמריקאיות (רב-ברירה) על פי רוב הנתונים יהיו קצרים וממוקדים הרבה יותר,</t>
  </si>
  <si>
    <t xml:space="preserve">ונצטרך לפעול לאורם מבלי לבנות גיליונות עבודה ודוחות מלאים. </t>
  </si>
  <si>
    <t>אחד המקרים הנפוצים ביותר הוא המצב שבו מקבלים נתונים על הכנסות והוצאות, ומידע נוסף שאמור לעזור</t>
  </si>
  <si>
    <t>לנו לתרגם את הערכים הנ״ל לתזרימי מזומנים מפעילות שוטפת.</t>
  </si>
  <si>
    <t>במצב כזה, נצא מהרווח הנקי ונצטרך להפעיל בעצמנו שיקול דעת לגבי כיוון ההתאמות המתבקשות, ולהזהר</t>
  </si>
  <si>
    <t xml:space="preserve">מנתוני סרק. </t>
  </si>
  <si>
    <t>שאלה לדוגמה - קצרה</t>
  </si>
  <si>
    <t>להלן נתונים בדבר ערכים כספיים מהדוחות של ״שקד״ בע״מ לשנת 2024:</t>
  </si>
  <si>
    <t>סך ההכנסות</t>
  </si>
  <si>
    <t>סך ההוצאות</t>
  </si>
  <si>
    <t>מתוך סך ההוצאות:</t>
  </si>
  <si>
    <t>עלייה בחייבים</t>
  </si>
  <si>
    <t>עלייה בזכאים</t>
  </si>
  <si>
    <t>עלייה במשיכת יתר</t>
  </si>
  <si>
    <t xml:space="preserve">עלייה בדיבידנד לשלם </t>
  </si>
  <si>
    <t>עלייה בהלוואות לזמן ארוך</t>
  </si>
  <si>
    <t>קניית קרקע</t>
  </si>
  <si>
    <t>נדרש: בנתונים אלו, מהם סך תזרימי המזומנים מפעילות שוטפת?</t>
  </si>
  <si>
    <t>הדיון בתזרימי המזומנים מפעילות שוטפת תמיד מתחיל ברווח נקי.</t>
  </si>
  <si>
    <t>הרווח הנקי הוא סך ההכנסות בניכוי סך ההוצאות - בשלב ראשון: ללא הבחנה בין סוגים.</t>
  </si>
  <si>
    <t xml:space="preserve">900,000 - 250,000 = </t>
  </si>
  <si>
    <t xml:space="preserve">כעת נייצר את ההתאמות הנדרשות כדי להציג את תזרים המזומנים מפעילות שוטפת. </t>
  </si>
  <si>
    <t>הואיל והשאלה אמריקאית, אין חשיבות אמיתית גדולה להפרדה בין סוגי ההתאמות.</t>
  </si>
  <si>
    <t>ירידה בלקוחות = גבייה מהם = כסף נכנס = חיובי</t>
  </si>
  <si>
    <t>היו הכנסות = אך טרם נגבה = לכן החוב כלפיי עלה = שלילי</t>
  </si>
  <si>
    <t>נרכש מלאי = כסף יצא = שלילי</t>
  </si>
  <si>
    <t>התחייבות לספקים ירדה = שילמנו להם = שלילי</t>
  </si>
  <si>
    <t>היו הוצאות אך טרם שילמנו אותן = כסף טרם יצא = חיובי</t>
  </si>
  <si>
    <t>לא רלוונטי! שינויים במשיכת יתר נזקפים לפעילות מימון!</t>
  </si>
  <si>
    <t>קשורה לפעילות שלא במזומן</t>
  </si>
  <si>
    <t>פעילות מימון</t>
  </si>
  <si>
    <t>פעילות השקעה</t>
  </si>
  <si>
    <t>כל יתר הסעיפים אינם רלוונטיים:</t>
  </si>
  <si>
    <t>תזרים המזומנים מפ. שוטפת</t>
  </si>
  <si>
    <t>תשובה סופית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</si>
</sst>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0\)"/>
    <numFmt numFmtId="166" formatCode="0.0%"/>
  </numFmts>
  <fonts count="73">
    <font>
      <sz val="10"/>
      <color rgb="FF000000"/>
      <name val="Arial"/>
    </font>
    <font>
      <b/>
      <sz val="18"/>
      <color theme="1"/>
      <name val="David"/>
      <family val="2"/>
      <charset val="177"/>
    </font>
    <font>
      <sz val="12"/>
      <color theme="1"/>
      <name val="David"/>
      <family val="2"/>
      <charset val="177"/>
    </font>
    <font>
      <sz val="10"/>
      <color rgb="FF000000"/>
      <name val="David"/>
      <family val="2"/>
      <charset val="177"/>
    </font>
    <font>
      <b/>
      <sz val="12"/>
      <color theme="1"/>
      <name val="David"/>
      <family val="2"/>
      <charset val="177"/>
    </font>
    <font>
      <b/>
      <sz val="12"/>
      <color rgb="FF000000"/>
      <name val="David"/>
      <family val="2"/>
      <charset val="177"/>
    </font>
    <font>
      <b/>
      <sz val="12"/>
      <color rgb="FFFF0000"/>
      <name val="David"/>
      <family val="2"/>
      <charset val="177"/>
    </font>
    <font>
      <b/>
      <sz val="14"/>
      <color theme="1"/>
      <name val="David"/>
      <family val="2"/>
      <charset val="177"/>
    </font>
    <font>
      <u/>
      <sz val="12"/>
      <color theme="1"/>
      <name val="David"/>
      <family val="2"/>
      <charset val="177"/>
    </font>
    <font>
      <sz val="10"/>
      <name val="David"/>
      <family val="2"/>
      <charset val="177"/>
    </font>
    <font>
      <b/>
      <u/>
      <sz val="12"/>
      <color theme="1"/>
      <name val="David"/>
      <family val="2"/>
      <charset val="177"/>
    </font>
    <font>
      <b/>
      <sz val="12"/>
      <color rgb="FF0000FF"/>
      <name val="David"/>
      <family val="2"/>
      <charset val="177"/>
    </font>
    <font>
      <sz val="12"/>
      <color rgb="FF0000FF"/>
      <name val="David"/>
      <family val="2"/>
      <charset val="177"/>
    </font>
    <font>
      <sz val="12"/>
      <color rgb="FFFF0000"/>
      <name val="David"/>
      <family val="2"/>
      <charset val="177"/>
    </font>
    <font>
      <sz val="12"/>
      <name val="David"/>
      <family val="2"/>
      <charset val="177"/>
    </font>
    <font>
      <b/>
      <sz val="12"/>
      <name val="David"/>
      <family val="2"/>
      <charset val="177"/>
    </font>
    <font>
      <sz val="10"/>
      <color rgb="FFFFFFFF"/>
      <name val="David"/>
      <family val="2"/>
      <charset val="177"/>
    </font>
    <font>
      <sz val="12"/>
      <color rgb="FF000000"/>
      <name val="David"/>
      <family val="2"/>
      <charset val="177"/>
    </font>
    <font>
      <sz val="12"/>
      <color rgb="FFFFFFFF"/>
      <name val="David"/>
      <family val="2"/>
      <charset val="177"/>
    </font>
    <font>
      <sz val="12"/>
      <color rgb="FF434343"/>
      <name val="David"/>
      <family val="2"/>
      <charset val="177"/>
    </font>
    <font>
      <sz val="12"/>
      <color theme="0"/>
      <name val="David"/>
      <family val="2"/>
      <charset val="177"/>
    </font>
    <font>
      <b/>
      <sz val="22"/>
      <color rgb="FFFF0000"/>
      <name val="David"/>
      <family val="2"/>
      <charset val="177"/>
    </font>
    <font>
      <sz val="16"/>
      <color theme="1"/>
      <name val="David"/>
      <family val="2"/>
      <charset val="177"/>
    </font>
    <font>
      <u/>
      <sz val="10"/>
      <color theme="10"/>
      <name val="Arial"/>
      <family val="2"/>
    </font>
    <font>
      <sz val="8"/>
      <color theme="1"/>
      <name val="David"/>
      <family val="2"/>
      <charset val="177"/>
    </font>
    <font>
      <b/>
      <sz val="11"/>
      <color theme="1"/>
      <name val="David"/>
      <family val="2"/>
      <charset val="177"/>
    </font>
    <font>
      <sz val="11"/>
      <color theme="1"/>
      <name val="David"/>
      <family val="2"/>
      <charset val="177"/>
    </font>
    <font>
      <b/>
      <u/>
      <sz val="12"/>
      <color rgb="FF0000FF"/>
      <name val="David"/>
      <family val="2"/>
      <charset val="177"/>
    </font>
    <font>
      <sz val="10"/>
      <color rgb="FF0000FF"/>
      <name val="David"/>
      <family val="2"/>
      <charset val="177"/>
    </font>
    <font>
      <b/>
      <sz val="12"/>
      <color rgb="FF9900FF"/>
      <name val="David"/>
      <family val="2"/>
      <charset val="177"/>
    </font>
    <font>
      <b/>
      <u/>
      <sz val="12"/>
      <name val="David"/>
      <family val="2"/>
      <charset val="177"/>
    </font>
    <font>
      <b/>
      <sz val="10"/>
      <color theme="1"/>
      <name val="David"/>
      <family val="2"/>
      <charset val="177"/>
    </font>
    <font>
      <b/>
      <sz val="20"/>
      <color rgb="FFFF0000"/>
      <name val="David"/>
      <family val="2"/>
      <charset val="177"/>
    </font>
    <font>
      <sz val="20"/>
      <color rgb="FFFF0000"/>
      <name val="David"/>
      <family val="2"/>
      <charset val="177"/>
    </font>
    <font>
      <sz val="10"/>
      <color rgb="FF000000"/>
      <name val="Arial"/>
      <family val="2"/>
    </font>
    <font>
      <sz val="10"/>
      <color theme="1"/>
      <name val="Arial"/>
      <family val="2"/>
    </font>
    <font>
      <sz val="10"/>
      <color theme="1"/>
      <name val="David"/>
      <family val="2"/>
      <charset val="177"/>
    </font>
    <font>
      <b/>
      <sz val="16"/>
      <color theme="1"/>
      <name val="David"/>
      <family val="2"/>
      <charset val="177"/>
    </font>
    <font>
      <b/>
      <sz val="20"/>
      <color theme="5"/>
      <name val="David"/>
      <family val="2"/>
      <charset val="177"/>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amily val="2"/>
      <charset val="177"/>
    </font>
    <font>
      <b/>
      <sz val="10"/>
      <color rgb="FFFF0000"/>
      <name val="David"/>
      <family val="2"/>
      <charset val="177"/>
    </font>
    <font>
      <b/>
      <u/>
      <sz val="12"/>
      <color rgb="FF000000"/>
      <name val="David"/>
      <family val="2"/>
      <charset val="177"/>
    </font>
    <font>
      <sz val="11"/>
      <color rgb="FF000000"/>
      <name val="Cambria Math"/>
      <family val="1"/>
    </font>
    <font>
      <u/>
      <sz val="12"/>
      <color rgb="FF000000"/>
      <name val="David"/>
      <family val="2"/>
      <charset val="177"/>
    </font>
    <font>
      <u/>
      <sz val="12"/>
      <color rgb="FF00B050"/>
      <name val="David"/>
      <family val="2"/>
      <charset val="177"/>
    </font>
    <font>
      <b/>
      <sz val="10"/>
      <color rgb="FF000000"/>
      <name val="Arial"/>
      <family val="2"/>
    </font>
    <font>
      <sz val="10"/>
      <color theme="0"/>
      <name val="David"/>
      <family val="2"/>
      <charset val="177"/>
    </font>
    <font>
      <u/>
      <sz val="10"/>
      <color rgb="FF000000"/>
      <name val="David"/>
      <family val="2"/>
      <charset val="177"/>
    </font>
    <font>
      <sz val="10"/>
      <color rgb="FFFF0000"/>
      <name val="David"/>
      <family val="2"/>
      <charset val="177"/>
    </font>
    <font>
      <b/>
      <sz val="10"/>
      <name val="David"/>
      <family val="2"/>
      <charset val="177"/>
    </font>
    <font>
      <sz val="10"/>
      <color rgb="FF000000"/>
      <name val="Arial"/>
      <family val="2"/>
    </font>
    <font>
      <b/>
      <sz val="18"/>
      <color rgb="FF000000"/>
      <name val="David"/>
      <family val="2"/>
      <charset val="177"/>
    </font>
    <font>
      <b/>
      <sz val="10"/>
      <color theme="0"/>
      <name val="David"/>
      <family val="2"/>
      <charset val="177"/>
    </font>
    <font>
      <b/>
      <u/>
      <sz val="10"/>
      <color rgb="FF000000"/>
      <name val="David"/>
      <family val="2"/>
      <charset val="177"/>
    </font>
    <font>
      <b/>
      <u/>
      <sz val="10"/>
      <color rgb="FFFF0000"/>
      <name val="David"/>
      <family val="2"/>
      <charset val="177"/>
    </font>
    <font>
      <u/>
      <sz val="10"/>
      <name val="David"/>
      <family val="2"/>
      <charset val="177"/>
    </font>
  </fonts>
  <fills count="25">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s>
  <borders count="55">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
      <left/>
      <right/>
      <top style="thin">
        <color auto="1"/>
      </top>
      <bottom style="thick">
        <color auto="1"/>
      </bottom>
      <diagonal/>
    </border>
    <border>
      <left/>
      <right/>
      <top style="medium">
        <color indexed="64"/>
      </top>
      <bottom style="dashed">
        <color indexed="64"/>
      </bottom>
      <diagonal/>
    </border>
    <border>
      <left/>
      <right style="medium">
        <color indexed="64"/>
      </right>
      <top/>
      <bottom style="thin">
        <color indexed="64"/>
      </bottom>
      <diagonal/>
    </border>
    <border>
      <left/>
      <right style="medium">
        <color indexed="64"/>
      </right>
      <top style="medium">
        <color indexed="64"/>
      </top>
      <bottom style="dashed">
        <color indexed="64"/>
      </bottom>
      <diagonal/>
    </border>
  </borders>
  <cellStyleXfs count="4">
    <xf numFmtId="0" fontId="0" fillId="0" borderId="0"/>
    <xf numFmtId="0" fontId="23" fillId="0" borderId="0" applyNumberFormat="0" applyFill="0" applyBorder="0" applyAlignment="0" applyProtection="0"/>
    <xf numFmtId="0" fontId="34" fillId="0" borderId="0"/>
    <xf numFmtId="9" fontId="67" fillId="0" borderId="0" applyFont="0" applyFill="0" applyBorder="0" applyAlignment="0" applyProtection="0"/>
  </cellStyleXfs>
  <cellXfs count="763">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17" fillId="5" borderId="0" xfId="0" applyNumberFormat="1" applyFont="1" applyFill="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0" fontId="56" fillId="7" borderId="0" xfId="0" applyFont="1" applyFill="1" applyAlignment="1">
      <alignment horizontal="center"/>
    </xf>
    <xf numFmtId="37" fontId="63" fillId="0" borderId="0" xfId="0" applyNumberFormat="1" applyFont="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4" fillId="0" borderId="25" xfId="0" applyFont="1" applyBorder="1"/>
    <xf numFmtId="0" fontId="56" fillId="0" borderId="27" xfId="0" applyFont="1" applyBorder="1"/>
    <xf numFmtId="0" fontId="56" fillId="0" borderId="28" xfId="0" applyFont="1" applyBorder="1"/>
    <xf numFmtId="0" fontId="65" fillId="0" borderId="0" xfId="0" applyFont="1"/>
    <xf numFmtId="37" fontId="65" fillId="0" borderId="0" xfId="0" applyNumberFormat="1" applyFont="1" applyAlignment="1">
      <alignment horizontal="center"/>
    </xf>
    <xf numFmtId="37" fontId="66" fillId="7" borderId="0" xfId="0" applyNumberFormat="1" applyFont="1" applyFill="1" applyAlignment="1">
      <alignment horizontal="center"/>
    </xf>
    <xf numFmtId="37" fontId="9" fillId="5" borderId="0" xfId="0" applyNumberFormat="1" applyFont="1" applyFill="1" applyAlignment="1">
      <alignment horizontal="center"/>
    </xf>
    <xf numFmtId="0" fontId="3" fillId="13" borderId="0" xfId="0" applyFont="1" applyFill="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4" fillId="20" borderId="0" xfId="0" applyFont="1" applyFill="1"/>
    <xf numFmtId="0" fontId="2" fillId="20" borderId="0" xfId="0" applyFont="1" applyFill="1"/>
    <xf numFmtId="0" fontId="4" fillId="21"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63" fillId="0" borderId="0" xfId="0" applyFont="1"/>
    <xf numFmtId="37" fontId="63" fillId="0" borderId="0" xfId="0" applyNumberFormat="1" applyFont="1"/>
    <xf numFmtId="0" fontId="63" fillId="6" borderId="21" xfId="0" applyFont="1" applyFill="1" applyBorder="1"/>
    <xf numFmtId="37" fontId="9" fillId="0" borderId="0" xfId="0" applyNumberFormat="1" applyFont="1"/>
    <xf numFmtId="37" fontId="9" fillId="0" borderId="21" xfId="0" applyNumberFormat="1" applyFont="1" applyBorder="1"/>
    <xf numFmtId="0" fontId="66" fillId="0" borderId="0" xfId="0" applyFont="1"/>
    <xf numFmtId="0" fontId="9" fillId="0" borderId="21" xfId="0" applyFont="1" applyBorder="1"/>
    <xf numFmtId="37" fontId="9" fillId="5" borderId="21" xfId="0" applyNumberFormat="1" applyFont="1" applyFill="1" applyBorder="1"/>
    <xf numFmtId="37" fontId="9" fillId="5" borderId="0" xfId="0" applyNumberFormat="1" applyFont="1" applyFill="1"/>
    <xf numFmtId="0" fontId="56" fillId="5" borderId="22" xfId="0" applyFont="1" applyFill="1" applyBorder="1"/>
    <xf numFmtId="3" fontId="3" fillId="0" borderId="0" xfId="0" applyNumberFormat="1" applyFont="1" applyAlignment="1">
      <alignment horizontal="center"/>
    </xf>
    <xf numFmtId="0" fontId="3" fillId="0" borderId="20" xfId="0" applyFont="1" applyBorder="1" applyAlignment="1">
      <alignment horizontal="center"/>
    </xf>
    <xf numFmtId="3" fontId="3" fillId="5" borderId="0" xfId="0" applyNumberFormat="1" applyFont="1" applyFill="1" applyAlignment="1">
      <alignment horizontal="center"/>
    </xf>
    <xf numFmtId="0" fontId="3" fillId="0" borderId="20" xfId="0" applyFont="1" applyBorder="1"/>
    <xf numFmtId="3" fontId="3" fillId="0" borderId="21" xfId="0" applyNumberFormat="1" applyFont="1" applyBorder="1" applyAlignment="1">
      <alignment horizontal="center"/>
    </xf>
    <xf numFmtId="166" fontId="3" fillId="0" borderId="0" xfId="3" applyNumberFormat="1" applyFont="1" applyAlignment="1">
      <alignment horizontal="center"/>
    </xf>
    <xf numFmtId="3" fontId="14" fillId="0" borderId="0" xfId="0" applyNumberFormat="1" applyFont="1" applyAlignment="1">
      <alignment horizontal="center"/>
    </xf>
    <xf numFmtId="0" fontId="68" fillId="5" borderId="0" xfId="0" applyFont="1" applyFill="1"/>
    <xf numFmtId="0" fontId="17" fillId="7" borderId="0" xfId="0" applyFont="1" applyFill="1"/>
    <xf numFmtId="0" fontId="17" fillId="0" borderId="23" xfId="0" applyFont="1" applyBorder="1"/>
    <xf numFmtId="0" fontId="17" fillId="0" borderId="24" xfId="0" applyFont="1" applyBorder="1"/>
    <xf numFmtId="0" fontId="5" fillId="7" borderId="0" xfId="0" applyFont="1" applyFill="1"/>
    <xf numFmtId="14" fontId="17" fillId="0" borderId="0" xfId="0" applyNumberFormat="1" applyFont="1"/>
    <xf numFmtId="14" fontId="17" fillId="0" borderId="0" xfId="0" applyNumberFormat="1" applyFont="1" applyAlignment="1">
      <alignment horizontal="center"/>
    </xf>
    <xf numFmtId="0" fontId="17" fillId="0" borderId="0" xfId="0" applyFont="1" applyAlignment="1">
      <alignment horizontal="left"/>
    </xf>
    <xf numFmtId="0" fontId="4" fillId="22" borderId="0" xfId="0" applyFont="1" applyFill="1"/>
    <xf numFmtId="0" fontId="2" fillId="23" borderId="0" xfId="0" applyFont="1" applyFill="1"/>
    <xf numFmtId="37" fontId="2" fillId="0" borderId="50" xfId="0" applyNumberFormat="1" applyFont="1" applyBorder="1"/>
    <xf numFmtId="9" fontId="2" fillId="0" borderId="20" xfId="0" applyNumberFormat="1" applyFont="1" applyBorder="1" applyAlignment="1">
      <alignment horizontal="center"/>
    </xf>
    <xf numFmtId="0" fontId="4" fillId="0" borderId="0" xfId="0" applyFont="1" applyAlignment="1">
      <alignment horizontal="center"/>
    </xf>
    <xf numFmtId="37" fontId="20" fillId="0" borderId="0" xfId="0" applyNumberFormat="1" applyFont="1" applyAlignment="1">
      <alignment horizontal="center"/>
    </xf>
    <xf numFmtId="0" fontId="36" fillId="0" borderId="0" xfId="0" applyFont="1"/>
    <xf numFmtId="0" fontId="14" fillId="6" borderId="0" xfId="0" applyFont="1" applyFill="1" applyAlignment="1">
      <alignment horizontal="center"/>
    </xf>
    <xf numFmtId="0" fontId="2" fillId="14" borderId="0" xfId="0" applyFont="1" applyFill="1"/>
    <xf numFmtId="0" fontId="13" fillId="0" borderId="20" xfId="0" applyFont="1" applyBorder="1"/>
    <xf numFmtId="0" fontId="14" fillId="6" borderId="0" xfId="0" applyFont="1" applyFill="1"/>
    <xf numFmtId="3" fontId="14" fillId="5" borderId="21" xfId="0" applyNumberFormat="1" applyFont="1" applyFill="1" applyBorder="1"/>
    <xf numFmtId="14" fontId="17" fillId="5" borderId="0" xfId="0" applyNumberFormat="1" applyFont="1" applyFill="1"/>
    <xf numFmtId="37" fontId="63" fillId="7" borderId="0" xfId="0" applyNumberFormat="1" applyFont="1" applyFill="1" applyAlignment="1">
      <alignment horizontal="center"/>
    </xf>
    <xf numFmtId="0" fontId="63" fillId="7" borderId="0" xfId="0" applyFont="1" applyFill="1" applyAlignment="1">
      <alignment horizontal="center"/>
    </xf>
    <xf numFmtId="0" fontId="63" fillId="0" borderId="0" xfId="0" applyFont="1" applyAlignment="1">
      <alignment horizontal="center"/>
    </xf>
    <xf numFmtId="14" fontId="66" fillId="0" borderId="20" xfId="0" applyNumberFormat="1" applyFont="1" applyBorder="1" applyAlignment="1">
      <alignment horizontal="center"/>
    </xf>
    <xf numFmtId="14" fontId="66" fillId="7" borderId="0" xfId="0" applyNumberFormat="1" applyFont="1" applyFill="1" applyAlignment="1">
      <alignment horizontal="center"/>
    </xf>
    <xf numFmtId="0" fontId="9" fillId="7" borderId="0" xfId="0" applyFont="1" applyFill="1"/>
    <xf numFmtId="0" fontId="66" fillId="7" borderId="0" xfId="0" applyFont="1" applyFill="1" applyAlignment="1">
      <alignment horizontal="center"/>
    </xf>
    <xf numFmtId="0" fontId="9" fillId="0" borderId="21" xfId="0" applyFont="1" applyBorder="1" applyAlignment="1">
      <alignment horizontal="center"/>
    </xf>
    <xf numFmtId="0" fontId="9" fillId="0" borderId="25" xfId="0" applyFont="1" applyBorder="1"/>
    <xf numFmtId="37" fontId="66" fillId="0" borderId="0" xfId="0" applyNumberFormat="1" applyFont="1"/>
    <xf numFmtId="37" fontId="66" fillId="0" borderId="47" xfId="0" applyNumberFormat="1" applyFont="1" applyBorder="1"/>
    <xf numFmtId="0" fontId="5" fillId="0" borderId="27" xfId="0" applyFont="1" applyBorder="1"/>
    <xf numFmtId="3" fontId="17" fillId="24" borderId="0" xfId="0" applyNumberFormat="1" applyFont="1" applyFill="1"/>
    <xf numFmtId="37" fontId="17" fillId="0" borderId="0" xfId="0" applyNumberFormat="1" applyFont="1" applyAlignment="1">
      <alignment horizontal="center" vertical="center" wrapText="1"/>
    </xf>
    <xf numFmtId="37" fontId="17" fillId="0" borderId="0" xfId="0" applyNumberFormat="1" applyFont="1" applyAlignment="1">
      <alignment horizontal="center" vertical="center"/>
    </xf>
    <xf numFmtId="37" fontId="17" fillId="24" borderId="0" xfId="0" applyNumberFormat="1" applyFont="1" applyFill="1" applyAlignment="1">
      <alignment horizontal="center" vertical="center"/>
    </xf>
    <xf numFmtId="37" fontId="69" fillId="7" borderId="0" xfId="0" applyNumberFormat="1" applyFont="1" applyFill="1" applyAlignment="1">
      <alignment horizontal="center"/>
    </xf>
    <xf numFmtId="37" fontId="63" fillId="0" borderId="0" xfId="0" applyNumberFormat="1" applyFont="1" applyAlignment="1">
      <alignment horizontal="right"/>
    </xf>
    <xf numFmtId="0" fontId="66" fillId="0" borderId="20" xfId="0" applyFont="1" applyBorder="1" applyAlignment="1">
      <alignment horizontal="center"/>
    </xf>
    <xf numFmtId="0" fontId="3" fillId="6" borderId="0" xfId="0" applyFont="1" applyFill="1" applyAlignment="1">
      <alignment horizontal="center"/>
    </xf>
    <xf numFmtId="0" fontId="70" fillId="0" borderId="0" xfId="0" applyFont="1"/>
    <xf numFmtId="37" fontId="3" fillId="0" borderId="26" xfId="0" applyNumberFormat="1" applyFont="1" applyBorder="1" applyAlignment="1">
      <alignment horizontal="center"/>
    </xf>
    <xf numFmtId="37" fontId="3" fillId="6" borderId="0" xfId="0" applyNumberFormat="1" applyFont="1" applyFill="1" applyAlignment="1">
      <alignment horizontal="center"/>
    </xf>
    <xf numFmtId="37" fontId="56" fillId="0" borderId="51" xfId="0" applyNumberFormat="1" applyFont="1" applyBorder="1" applyAlignment="1">
      <alignment horizontal="center"/>
    </xf>
    <xf numFmtId="37" fontId="3" fillId="5" borderId="0" xfId="0" applyNumberFormat="1" applyFont="1" applyFill="1" applyAlignment="1">
      <alignment horizontal="center"/>
    </xf>
    <xf numFmtId="0" fontId="3" fillId="0" borderId="26" xfId="0" applyFont="1" applyBorder="1" applyAlignment="1">
      <alignment horizontal="right"/>
    </xf>
    <xf numFmtId="37" fontId="56" fillId="0" borderId="42" xfId="0" applyNumberFormat="1" applyFont="1" applyBorder="1" applyAlignment="1">
      <alignment horizontal="center"/>
    </xf>
    <xf numFmtId="37" fontId="3" fillId="24" borderId="26" xfId="0" applyNumberFormat="1" applyFont="1" applyFill="1" applyBorder="1" applyAlignment="1">
      <alignment horizontal="center"/>
    </xf>
    <xf numFmtId="37" fontId="3" fillId="24" borderId="0" xfId="0" applyNumberFormat="1" applyFont="1" applyFill="1" applyAlignment="1">
      <alignment horizontal="center"/>
    </xf>
    <xf numFmtId="37" fontId="3" fillId="11" borderId="0" xfId="0" applyNumberFormat="1" applyFont="1" applyFill="1"/>
    <xf numFmtId="37" fontId="3" fillId="11" borderId="0" xfId="0" applyNumberFormat="1" applyFont="1" applyFill="1" applyAlignment="1">
      <alignment horizontal="center"/>
    </xf>
    <xf numFmtId="37" fontId="9" fillId="24" borderId="0" xfId="0" applyNumberFormat="1" applyFont="1" applyFill="1" applyAlignment="1">
      <alignment horizontal="center"/>
    </xf>
    <xf numFmtId="0" fontId="3" fillId="6" borderId="0" xfId="0" applyFont="1" applyFill="1"/>
    <xf numFmtId="0" fontId="3" fillId="6" borderId="21" xfId="0" applyFont="1" applyFill="1" applyBorder="1"/>
    <xf numFmtId="37" fontId="3" fillId="12" borderId="0" xfId="0" applyNumberFormat="1" applyFont="1" applyFill="1" applyAlignment="1">
      <alignment horizontal="center"/>
    </xf>
    <xf numFmtId="0" fontId="72" fillId="0" borderId="0" xfId="0" applyFont="1"/>
    <xf numFmtId="37" fontId="66" fillId="0" borderId="21" xfId="0" applyNumberFormat="1" applyFont="1" applyBorder="1"/>
    <xf numFmtId="0" fontId="17" fillId="0" borderId="0" xfId="0" applyFont="1" applyAlignment="1">
      <alignment vertical="center"/>
    </xf>
    <xf numFmtId="0" fontId="17" fillId="24" borderId="0" xfId="0" applyFont="1" applyFill="1" applyAlignment="1">
      <alignment horizontal="center"/>
    </xf>
    <xf numFmtId="0" fontId="39" fillId="8" borderId="0" xfId="2" applyFont="1" applyFill="1" applyAlignment="1">
      <alignment horizontal="right" readingOrder="2"/>
    </xf>
    <xf numFmtId="0" fontId="34" fillId="0" borderId="0" xfId="2"/>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2" fillId="0" borderId="0" xfId="2" applyFont="1"/>
    <xf numFmtId="0" fontId="3" fillId="0" borderId="0" xfId="2" applyFont="1"/>
    <xf numFmtId="0" fontId="41" fillId="3" borderId="0" xfId="2" applyFont="1" applyFill="1" applyAlignment="1">
      <alignment horizontal="right" readingOrder="2"/>
    </xf>
    <xf numFmtId="0" fontId="4" fillId="0" borderId="20" xfId="0" applyFont="1" applyBorder="1" applyAlignment="1">
      <alignment horizontal="center"/>
    </xf>
    <xf numFmtId="0" fontId="1" fillId="0" borderId="0" xfId="2" applyFont="1" applyAlignment="1">
      <alignment horizontal="center" readingOrder="2"/>
    </xf>
    <xf numFmtId="0" fontId="2" fillId="5" borderId="20" xfId="0" applyFont="1" applyFill="1" applyBorder="1" applyAlignment="1">
      <alignment horizontal="center"/>
    </xf>
    <xf numFmtId="0" fontId="2" fillId="9" borderId="0" xfId="0" applyFont="1" applyFill="1" applyAlignment="1">
      <alignment horizontal="center"/>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2" fillId="0" borderId="0" xfId="0" applyFont="1" applyAlignment="1">
      <alignment horizontal="center" vertical="center"/>
    </xf>
    <xf numFmtId="0" fontId="3" fillId="0" borderId="0" xfId="0" applyFont="1"/>
    <xf numFmtId="0" fontId="4" fillId="4" borderId="0" xfId="0" applyFont="1" applyFill="1" applyAlignment="1">
      <alignment horizontal="center" vertical="center" wrapText="1"/>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5" fillId="5" borderId="0" xfId="0" applyFont="1" applyFill="1" applyAlignment="1">
      <alignment horizontal="center"/>
    </xf>
    <xf numFmtId="0" fontId="3" fillId="5" borderId="0" xfId="0" applyFont="1" applyFill="1" applyAlignment="1">
      <alignment horizontal="center"/>
    </xf>
    <xf numFmtId="37" fontId="14" fillId="0" borderId="49" xfId="0" applyNumberFormat="1" applyFont="1" applyBorder="1" applyAlignment="1">
      <alignment horizontal="center" vertical="center"/>
    </xf>
    <xf numFmtId="37" fontId="14" fillId="0" borderId="0" xfId="0" applyNumberFormat="1" applyFont="1" applyAlignment="1">
      <alignment horizontal="center" vertical="center"/>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2" fillId="20" borderId="0" xfId="0" applyFont="1" applyFill="1" applyAlignment="1">
      <alignment horizontal="center"/>
    </xf>
    <xf numFmtId="0" fontId="17" fillId="0" borderId="38" xfId="0" applyFont="1" applyBorder="1" applyAlignment="1">
      <alignment horizontal="center" wrapText="1"/>
    </xf>
    <xf numFmtId="0" fontId="17" fillId="0" borderId="34" xfId="0" applyFont="1" applyBorder="1" applyAlignment="1">
      <alignment horizontal="center"/>
    </xf>
    <xf numFmtId="0" fontId="17" fillId="0" borderId="38"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2" fillId="0" borderId="0" xfId="0" applyFont="1" applyBorder="1" applyAlignment="1">
      <alignment horizontal="center"/>
    </xf>
    <xf numFmtId="14" fontId="2" fillId="0" borderId="0" xfId="0" applyNumberFormat="1" applyFont="1" applyBorder="1" applyAlignment="1">
      <alignment horizontal="center"/>
    </xf>
    <xf numFmtId="0" fontId="2" fillId="0" borderId="23" xfId="0" applyFont="1" applyBorder="1" applyAlignment="1">
      <alignment horizontal="center"/>
    </xf>
    <xf numFmtId="0" fontId="2" fillId="0" borderId="24"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0" fontId="2" fillId="0" borderId="29" xfId="0" applyFont="1" applyBorder="1" applyAlignment="1">
      <alignment horizontal="center"/>
    </xf>
    <xf numFmtId="37" fontId="2" fillId="0" borderId="15" xfId="0" applyNumberFormat="1" applyFont="1" applyBorder="1" applyAlignment="1">
      <alignment horizontal="center"/>
    </xf>
    <xf numFmtId="0" fontId="2" fillId="0" borderId="15" xfId="0" applyFont="1" applyBorder="1" applyAlignment="1">
      <alignment horizontal="center"/>
    </xf>
    <xf numFmtId="0" fontId="2" fillId="0" borderId="16" xfId="0" applyFont="1" applyBorder="1" applyAlignment="1">
      <alignment horizontal="center"/>
    </xf>
    <xf numFmtId="37" fontId="2" fillId="0" borderId="29" xfId="0" applyNumberFormat="1" applyFont="1" applyBorder="1" applyAlignment="1">
      <alignment horizontal="center"/>
    </xf>
    <xf numFmtId="0" fontId="24" fillId="0" borderId="24" xfId="0" applyFont="1" applyBorder="1" applyAlignment="1">
      <alignment horizontal="center"/>
    </xf>
    <xf numFmtId="37" fontId="2" fillId="0" borderId="52" xfId="0" applyNumberFormat="1" applyFont="1" applyBorder="1" applyAlignment="1">
      <alignment horizontal="center"/>
    </xf>
    <xf numFmtId="0" fontId="2" fillId="0" borderId="0" xfId="0" applyFont="1" applyBorder="1"/>
    <xf numFmtId="0" fontId="2" fillId="0" borderId="53" xfId="0" applyFont="1" applyBorder="1" applyAlignment="1">
      <alignment horizontal="center"/>
    </xf>
    <xf numFmtId="0" fontId="2" fillId="0" borderId="26" xfId="0" applyFont="1" applyBorder="1" applyAlignment="1">
      <alignment horizontal="center"/>
    </xf>
    <xf numFmtId="0" fontId="8" fillId="0" borderId="25" xfId="0" applyFont="1" applyBorder="1"/>
    <xf numFmtId="37" fontId="2" fillId="0" borderId="26" xfId="0" applyNumberFormat="1" applyFont="1" applyBorder="1" applyAlignment="1">
      <alignment horizontal="center"/>
    </xf>
    <xf numFmtId="0" fontId="4" fillId="0" borderId="0" xfId="0" applyFont="1" applyBorder="1"/>
    <xf numFmtId="37" fontId="4" fillId="0" borderId="54" xfId="0" applyNumberFormat="1" applyFont="1" applyBorder="1" applyAlignment="1">
      <alignment horizontal="center"/>
    </xf>
    <xf numFmtId="0" fontId="2" fillId="18" borderId="22" xfId="0" applyFont="1" applyFill="1" applyBorder="1"/>
    <xf numFmtId="0" fontId="2" fillId="18" borderId="23" xfId="0" applyFont="1" applyFill="1" applyBorder="1"/>
    <xf numFmtId="0" fontId="2" fillId="18" borderId="24" xfId="0" applyFont="1" applyFill="1" applyBorder="1"/>
    <xf numFmtId="37" fontId="5" fillId="5" borderId="30" xfId="0" applyNumberFormat="1" applyFont="1" applyFill="1" applyBorder="1" applyAlignment="1">
      <alignment horizontal="center"/>
    </xf>
  </cellXfs>
  <cellStyles count="4">
    <cellStyle name="Hyperlink" xfId="1" builtinId="8"/>
    <cellStyle name="Normal" xfId="0" builtinId="0"/>
    <cellStyle name="Normal 2" xfId="2" xr:uid="{02638A7D-6539-194E-BA97-9940E6F4AAB6}"/>
    <cellStyle name="Percent" xfId="3" builtinId="5"/>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7/10/relationships/person" Target="persons/perso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65</xdr:row>
      <xdr:rowOff>59465</xdr:rowOff>
    </xdr:from>
    <xdr:to>
      <xdr:col>9</xdr:col>
      <xdr:colOff>59464</xdr:colOff>
      <xdr:row>78</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140365</xdr:colOff>
      <xdr:row>83</xdr:row>
      <xdr:rowOff>80211</xdr:rowOff>
    </xdr:from>
    <xdr:to>
      <xdr:col>7</xdr:col>
      <xdr:colOff>681789</xdr:colOff>
      <xdr:row>85</xdr:row>
      <xdr:rowOff>66843</xdr:rowOff>
    </xdr:to>
    <xdr:sp macro="" textlink="">
      <xdr:nvSpPr>
        <xdr:cNvPr id="10" name="Left Brace 9">
          <a:extLst>
            <a:ext uri="{FF2B5EF4-FFF2-40B4-BE49-F238E27FC236}">
              <a16:creationId xmlns:a16="http://schemas.microsoft.com/office/drawing/2014/main" id="{962CA7D9-EBDF-6BEF-4B2F-0033E36C95CD}"/>
            </a:ext>
          </a:extLst>
        </xdr:cNvPr>
        <xdr:cNvSpPr/>
      </xdr:nvSpPr>
      <xdr:spPr>
        <a:xfrm rot="16200000">
          <a:off x="13574204502" y="13044236"/>
          <a:ext cx="320842" cy="219910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661737</xdr:colOff>
      <xdr:row>84</xdr:row>
      <xdr:rowOff>153737</xdr:rowOff>
    </xdr:from>
    <xdr:to>
      <xdr:col>8</xdr:col>
      <xdr:colOff>487947</xdr:colOff>
      <xdr:row>86</xdr:row>
      <xdr:rowOff>93579</xdr:rowOff>
    </xdr:to>
    <xdr:cxnSp macro="">
      <xdr:nvCxnSpPr>
        <xdr:cNvPr id="11" name="Straight Arrow Connector 10">
          <a:extLst>
            <a:ext uri="{FF2B5EF4-FFF2-40B4-BE49-F238E27FC236}">
              <a16:creationId xmlns:a16="http://schemas.microsoft.com/office/drawing/2014/main" id="{A77A4818-1930-C941-C487-2FCB52325005}"/>
            </a:ext>
          </a:extLst>
        </xdr:cNvPr>
        <xdr:cNvCxnSpPr/>
      </xdr:nvCxnSpPr>
      <xdr:spPr>
        <a:xfrm>
          <a:off x="13572630369" y="14224000"/>
          <a:ext cx="655052" cy="274053"/>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171824</xdr:colOff>
      <xdr:row>191</xdr:row>
      <xdr:rowOff>119529</xdr:rowOff>
    </xdr:from>
    <xdr:to>
      <xdr:col>17</xdr:col>
      <xdr:colOff>179294</xdr:colOff>
      <xdr:row>194</xdr:row>
      <xdr:rowOff>156882</xdr:rowOff>
    </xdr:to>
    <xdr:cxnSp macro="">
      <xdr:nvCxnSpPr>
        <xdr:cNvPr id="13" name="Straight Arrow Connector 12">
          <a:extLst>
            <a:ext uri="{FF2B5EF4-FFF2-40B4-BE49-F238E27FC236}">
              <a16:creationId xmlns:a16="http://schemas.microsoft.com/office/drawing/2014/main" id="{F5D7BC30-86DD-DD1D-1878-08ED0977C161}"/>
            </a:ext>
          </a:extLst>
        </xdr:cNvPr>
        <xdr:cNvCxnSpPr/>
      </xdr:nvCxnSpPr>
      <xdr:spPr>
        <a:xfrm flipH="1">
          <a:off x="13571914765" y="32758529"/>
          <a:ext cx="7470" cy="6424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66"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66"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79"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83"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711" t="s">
        <v>40</v>
      </c>
      <c r="B80" s="712"/>
      <c r="C80" s="712"/>
      <c r="D80" s="712"/>
      <c r="E80" s="712"/>
      <c r="F80" s="712"/>
      <c r="G80" s="712"/>
      <c r="H80" s="713"/>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719" t="s">
        <v>393</v>
      </c>
      <c r="D106" s="720"/>
      <c r="E106" s="721"/>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719" t="s">
        <v>51</v>
      </c>
      <c r="D107" s="720"/>
      <c r="E107" s="721"/>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714" t="s">
        <v>53</v>
      </c>
      <c r="D108" s="715"/>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716" t="s">
        <v>290</v>
      </c>
      <c r="E117" s="717"/>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718" t="s">
        <v>291</v>
      </c>
      <c r="C120" s="718"/>
      <c r="D120" s="718"/>
      <c r="E120" s="718"/>
      <c r="F120" s="718"/>
      <c r="G120" s="718"/>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00" t="s">
        <v>1799</v>
      </c>
      <c r="B199" s="601"/>
      <c r="C199" s="601"/>
      <c r="D199" s="601"/>
      <c r="E199" s="601"/>
      <c r="F199" s="601"/>
      <c r="G199" s="601"/>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1800</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1801</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1802</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1803</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1804</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1805</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1806</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1807</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1808</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1809</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1810</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1811</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1812</v>
      </c>
      <c r="B218" s="4" t="s">
        <v>1813</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703" t="s">
        <v>98</v>
      </c>
      <c r="C223" s="704"/>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722"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723"/>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722" t="s">
        <v>399</v>
      </c>
      <c r="B230" s="122" t="s">
        <v>397</v>
      </c>
      <c r="C230" s="100"/>
      <c r="D230" s="83">
        <v>100</v>
      </c>
      <c r="E230" s="83">
        <v>130</v>
      </c>
      <c r="F230" s="2"/>
      <c r="G230" s="2" t="s">
        <v>1814</v>
      </c>
      <c r="H230" s="2"/>
      <c r="I230" s="2"/>
      <c r="J230" s="2"/>
      <c r="K230" s="2"/>
      <c r="L230" s="2"/>
      <c r="M230" s="2"/>
      <c r="N230" s="2"/>
      <c r="O230" s="2"/>
      <c r="P230" s="2"/>
      <c r="Q230" s="2"/>
      <c r="R230" s="2"/>
      <c r="S230" s="2"/>
      <c r="T230" s="2"/>
      <c r="U230" s="2"/>
      <c r="V230" s="2"/>
      <c r="W230" s="2"/>
      <c r="X230" s="2"/>
      <c r="Y230" s="2"/>
      <c r="Z230" s="2"/>
    </row>
    <row r="231" spans="1:26" ht="17" thickBot="1">
      <c r="A231" s="723"/>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722"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723"/>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722"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723"/>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705"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706"/>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707"/>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708"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709"/>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708"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709"/>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709"/>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708"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709"/>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708"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709"/>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709"/>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710"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709"/>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709"/>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709"/>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00" t="s">
        <v>1815</v>
      </c>
      <c r="B800" s="601"/>
      <c r="C800" s="601"/>
      <c r="D800" s="601"/>
      <c r="E800" s="601"/>
      <c r="F800" s="601"/>
      <c r="G800" s="601"/>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1816</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1817</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1818</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1819</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1820</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1821</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02" t="s">
        <v>1822</v>
      </c>
      <c r="B812" s="602"/>
      <c r="C812" s="602"/>
      <c r="D812" s="602"/>
      <c r="E812" s="602"/>
      <c r="F812" s="602"/>
      <c r="G812" s="602"/>
      <c r="H812" s="2"/>
      <c r="I812" s="2"/>
      <c r="J812" s="2"/>
      <c r="K812" s="2"/>
      <c r="L812" s="2"/>
      <c r="M812" s="2"/>
      <c r="N812" s="2"/>
      <c r="O812" s="2"/>
      <c r="P812" s="2"/>
      <c r="Q812" s="2"/>
      <c r="R812" s="2"/>
      <c r="S812" s="2"/>
      <c r="T812" s="2"/>
      <c r="U812" s="2"/>
      <c r="V812" s="2"/>
      <c r="W812" s="2"/>
      <c r="X812" s="2"/>
      <c r="Y812" s="2"/>
      <c r="Z812" s="2"/>
    </row>
    <row r="813" spans="1:26" ht="16">
      <c r="A813" s="2"/>
      <c r="B813" s="2" t="s">
        <v>1823</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1824</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1825</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1826</v>
      </c>
      <c r="B817" s="89" t="s">
        <v>1827</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1828</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1829</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1830</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1853</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1831</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1832</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1833</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1834</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1835</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1836</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1837</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1838</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1839</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1840</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1841</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1842</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1843</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1844</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1845</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1862</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1846</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1847</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1869</v>
      </c>
      <c r="B841" s="551"/>
      <c r="C841" s="551"/>
      <c r="D841" s="551"/>
      <c r="E841" s="551"/>
      <c r="F841" s="551"/>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1848</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1826</v>
      </c>
      <c r="B845" s="34" t="s">
        <v>1827</v>
      </c>
      <c r="C845" s="702" t="s">
        <v>131</v>
      </c>
      <c r="D845" s="702"/>
      <c r="E845" s="702"/>
      <c r="F845" s="702"/>
      <c r="G845" s="607" t="s">
        <v>196</v>
      </c>
      <c r="H845" s="597"/>
      <c r="I845" s="701" t="s">
        <v>78</v>
      </c>
      <c r="J845" s="701"/>
      <c r="K845" s="701"/>
      <c r="L845" s="701"/>
      <c r="M845" s="701"/>
      <c r="N845" s="2"/>
      <c r="O845" s="2"/>
      <c r="P845" s="2"/>
      <c r="Q845" s="2"/>
      <c r="R845" s="2"/>
      <c r="S845" s="2"/>
      <c r="T845" s="2"/>
      <c r="U845" s="2"/>
      <c r="V845" s="2"/>
      <c r="W845" s="2"/>
      <c r="X845" s="2"/>
      <c r="Y845" s="2"/>
      <c r="Z845" s="2"/>
    </row>
    <row r="846" spans="1:26" ht="16">
      <c r="A846" s="34"/>
      <c r="B846" s="34"/>
      <c r="C846" s="608" t="s">
        <v>66</v>
      </c>
      <c r="D846" s="608" t="s">
        <v>1858</v>
      </c>
      <c r="E846" s="608" t="s">
        <v>493</v>
      </c>
      <c r="F846" s="608" t="s">
        <v>1546</v>
      </c>
      <c r="G846" s="607" t="s">
        <v>1851</v>
      </c>
      <c r="H846" s="607" t="s">
        <v>1867</v>
      </c>
      <c r="I846" s="606" t="s">
        <v>1849</v>
      </c>
      <c r="J846" s="606"/>
      <c r="K846" s="606"/>
      <c r="L846" s="606"/>
      <c r="M846" s="185"/>
      <c r="N846" s="2"/>
      <c r="O846" s="2"/>
      <c r="P846" s="2"/>
      <c r="Q846" s="2"/>
      <c r="R846" s="2"/>
      <c r="S846" s="2"/>
      <c r="T846" s="2"/>
      <c r="U846" s="2"/>
      <c r="V846" s="2"/>
      <c r="W846" s="2"/>
      <c r="X846" s="2"/>
      <c r="Y846" s="2"/>
      <c r="Z846" s="2"/>
    </row>
    <row r="847" spans="1:26" ht="16">
      <c r="A847" s="34"/>
      <c r="B847" s="34"/>
      <c r="C847" s="608"/>
      <c r="D847" s="608"/>
      <c r="E847" s="609"/>
      <c r="F847" s="609"/>
      <c r="G847" s="607"/>
      <c r="H847" s="597"/>
      <c r="I847" s="606" t="s">
        <v>197</v>
      </c>
      <c r="J847" s="606" t="s">
        <v>540</v>
      </c>
      <c r="K847" s="606" t="s">
        <v>1855</v>
      </c>
      <c r="L847" s="606" t="s">
        <v>993</v>
      </c>
      <c r="M847" s="185" t="s">
        <v>123</v>
      </c>
      <c r="N847" s="34" t="s">
        <v>1868</v>
      </c>
      <c r="O847" s="2"/>
      <c r="P847" s="2"/>
      <c r="Q847" s="2"/>
      <c r="R847" s="2"/>
      <c r="S847" s="2"/>
      <c r="T847" s="2"/>
      <c r="U847" s="2"/>
      <c r="V847" s="2"/>
      <c r="W847" s="2"/>
      <c r="X847" s="2"/>
      <c r="Y847" s="2"/>
      <c r="Z847" s="2"/>
    </row>
    <row r="848" spans="1:26" ht="16">
      <c r="A848" s="34">
        <v>1</v>
      </c>
      <c r="B848" s="603" t="s">
        <v>1588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03" t="s">
        <v>1850</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04" t="s">
        <v>1852</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1854</v>
      </c>
      <c r="C851" s="468">
        <v>-70000</v>
      </c>
      <c r="D851" s="34"/>
      <c r="E851" s="34"/>
      <c r="G851" s="34"/>
      <c r="I851" s="34"/>
      <c r="J851" s="34"/>
      <c r="K851" s="34"/>
      <c r="L851" s="468">
        <f>C851</f>
        <v>-70000</v>
      </c>
      <c r="M851" s="2"/>
      <c r="N851" s="49">
        <f t="shared" si="17"/>
        <v>0</v>
      </c>
      <c r="O851" s="2"/>
      <c r="P851" s="2"/>
      <c r="Q851" s="2"/>
      <c r="R851" s="2"/>
      <c r="S851" s="2"/>
      <c r="T851" s="2"/>
      <c r="U851" s="2"/>
      <c r="V851" s="2"/>
      <c r="W851" s="2"/>
      <c r="X851" s="2"/>
      <c r="Y851" s="2"/>
      <c r="Z851" s="2"/>
    </row>
    <row r="852" spans="1:26" ht="16">
      <c r="A852" s="34">
        <v>5</v>
      </c>
      <c r="B852" s="34" t="s">
        <v>574</v>
      </c>
      <c r="C852" s="468">
        <v>-7000</v>
      </c>
      <c r="D852" s="34"/>
      <c r="E852" s="34"/>
      <c r="G852" s="34"/>
      <c r="I852" s="34"/>
      <c r="J852" s="34"/>
      <c r="K852" s="34"/>
      <c r="L852" s="468">
        <v>-7000</v>
      </c>
      <c r="M852" s="2"/>
      <c r="N852" s="49">
        <f t="shared" si="17"/>
        <v>0</v>
      </c>
      <c r="O852" s="2"/>
      <c r="P852" s="2"/>
      <c r="Q852" s="2"/>
      <c r="R852" s="2"/>
      <c r="S852" s="2"/>
      <c r="T852" s="2"/>
      <c r="U852" s="2"/>
      <c r="V852" s="2"/>
      <c r="W852" s="2"/>
      <c r="X852" s="2"/>
      <c r="Y852" s="2"/>
      <c r="Z852" s="2"/>
    </row>
    <row r="853" spans="1:26" ht="16">
      <c r="A853" s="34">
        <v>6</v>
      </c>
      <c r="B853" s="34" t="s">
        <v>1856</v>
      </c>
      <c r="C853" s="468">
        <v>-5000</v>
      </c>
      <c r="D853" s="34"/>
      <c r="E853" s="34"/>
      <c r="G853" s="34"/>
      <c r="I853" s="34"/>
      <c r="J853" s="34"/>
      <c r="K853" s="34"/>
      <c r="L853" s="468">
        <v>-5000</v>
      </c>
      <c r="M853" s="2"/>
      <c r="N853" s="49">
        <f t="shared" si="17"/>
        <v>0</v>
      </c>
      <c r="O853" s="2"/>
      <c r="P853" s="2"/>
      <c r="Q853" s="2"/>
      <c r="R853" s="2"/>
      <c r="S853" s="2"/>
      <c r="T853" s="2"/>
      <c r="U853" s="2"/>
      <c r="V853" s="2"/>
      <c r="W853" s="2"/>
      <c r="X853" s="2"/>
      <c r="Y853" s="2"/>
      <c r="Z853" s="2"/>
    </row>
    <row r="854" spans="1:26" ht="16">
      <c r="A854" s="34">
        <v>7</v>
      </c>
      <c r="B854" s="34" t="s">
        <v>1857</v>
      </c>
      <c r="C854" s="468">
        <v>-17000</v>
      </c>
      <c r="D854" s="34"/>
      <c r="E854" s="34"/>
      <c r="G854" s="34"/>
      <c r="I854" s="34"/>
      <c r="J854" s="34"/>
      <c r="K854" s="34"/>
      <c r="L854" s="468">
        <v>-17000</v>
      </c>
      <c r="M854" s="2"/>
      <c r="N854" s="49">
        <f t="shared" si="17"/>
        <v>0</v>
      </c>
      <c r="O854" s="2"/>
      <c r="P854" s="2"/>
      <c r="Q854" s="2"/>
      <c r="R854" s="2"/>
      <c r="S854" s="2"/>
      <c r="T854" s="2"/>
      <c r="U854" s="2"/>
      <c r="V854" s="2"/>
      <c r="W854" s="2"/>
      <c r="X854" s="2"/>
      <c r="Y854" s="2"/>
      <c r="Z854" s="2"/>
    </row>
    <row r="855" spans="1:26" ht="16">
      <c r="A855" s="34">
        <v>8</v>
      </c>
      <c r="B855" s="34" t="s">
        <v>1858</v>
      </c>
      <c r="C855" s="468">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1859</v>
      </c>
      <c r="C856" s="468">
        <f>60%*800000</f>
        <v>480000</v>
      </c>
      <c r="D856" s="34"/>
      <c r="E856" s="468">
        <f>K856-C856</f>
        <v>320000</v>
      </c>
      <c r="G856" s="34"/>
      <c r="I856" s="34"/>
      <c r="J856" s="34"/>
      <c r="K856" s="468">
        <v>800000</v>
      </c>
      <c r="L856" s="34"/>
      <c r="M856" s="2"/>
      <c r="N856" s="49">
        <f t="shared" si="17"/>
        <v>0</v>
      </c>
      <c r="O856" s="2"/>
      <c r="P856" s="2"/>
      <c r="Q856" s="2"/>
      <c r="R856" s="2"/>
      <c r="S856" s="2"/>
      <c r="T856" s="2"/>
      <c r="U856" s="2"/>
      <c r="V856" s="2"/>
      <c r="W856" s="2"/>
      <c r="X856" s="2"/>
      <c r="Y856" s="2"/>
      <c r="Z856" s="2"/>
    </row>
    <row r="857" spans="1:26" ht="16">
      <c r="A857" s="34">
        <v>10</v>
      </c>
      <c r="B857" s="34" t="s">
        <v>1860</v>
      </c>
      <c r="C857" s="468">
        <v>-75000</v>
      </c>
      <c r="D857" s="34"/>
      <c r="E857" s="34"/>
      <c r="F857" s="468">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8">
        <v>-37000</v>
      </c>
      <c r="D858" s="34"/>
      <c r="E858" s="34"/>
      <c r="G858" s="34"/>
      <c r="I858" s="34"/>
      <c r="J858" s="34"/>
      <c r="K858" s="34"/>
      <c r="L858" s="468">
        <f>C858</f>
        <v>-37000</v>
      </c>
      <c r="M858" s="2"/>
      <c r="N858" s="49">
        <f t="shared" si="17"/>
        <v>0</v>
      </c>
      <c r="O858" s="2"/>
      <c r="P858" s="2"/>
      <c r="Q858" s="2"/>
      <c r="R858" s="2"/>
      <c r="S858" s="2"/>
      <c r="T858" s="2"/>
      <c r="U858" s="2"/>
      <c r="V858" s="2"/>
      <c r="W858" s="2"/>
      <c r="X858" s="2"/>
      <c r="Y858" s="2"/>
      <c r="Z858" s="2"/>
    </row>
    <row r="859" spans="1:26" ht="16">
      <c r="A859" s="34">
        <v>12</v>
      </c>
      <c r="B859" s="34" t="s">
        <v>1861</v>
      </c>
      <c r="C859" s="468">
        <f>-E859</f>
        <v>38000</v>
      </c>
      <c r="D859" s="34"/>
      <c r="E859" s="468">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05" t="s">
        <v>1863</v>
      </c>
      <c r="C860" s="468">
        <f>-6%*200000</f>
        <v>-12000</v>
      </c>
      <c r="D860" s="34"/>
      <c r="E860" s="34"/>
      <c r="G860" s="34"/>
      <c r="I860" s="34"/>
      <c r="J860" s="34"/>
      <c r="K860" s="34"/>
      <c r="L860" s="468">
        <f>-6%*200000</f>
        <v>-12000</v>
      </c>
      <c r="M860" s="2"/>
      <c r="N860" s="49">
        <f t="shared" si="17"/>
        <v>0</v>
      </c>
      <c r="O860" s="2"/>
      <c r="P860" s="2"/>
      <c r="Q860" s="2"/>
      <c r="R860" s="2"/>
      <c r="S860" s="2"/>
      <c r="T860" s="2"/>
      <c r="U860" s="2"/>
      <c r="V860" s="2"/>
      <c r="W860" s="2"/>
      <c r="X860" s="2"/>
      <c r="Y860" s="2"/>
      <c r="Z860" s="2"/>
    </row>
    <row r="861" spans="1:26" ht="16">
      <c r="A861" s="34">
        <v>13.2</v>
      </c>
      <c r="B861" s="605" t="s">
        <v>1864</v>
      </c>
      <c r="C861" s="468">
        <f>-C849</f>
        <v>-200000</v>
      </c>
      <c r="D861" s="34"/>
      <c r="E861" s="34"/>
      <c r="F861" s="34"/>
      <c r="G861" s="468">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05" t="s">
        <v>1865</v>
      </c>
      <c r="C862" s="468">
        <f>-8%*300000</f>
        <v>-24000</v>
      </c>
      <c r="D862" s="2"/>
      <c r="E862" s="2"/>
      <c r="F862" s="2"/>
      <c r="G862" s="2"/>
      <c r="I862" s="2"/>
      <c r="J862" s="2"/>
      <c r="K862" s="34"/>
      <c r="L862" s="468">
        <f>-8%*300000</f>
        <v>-24000</v>
      </c>
      <c r="M862" s="2"/>
      <c r="N862" s="49">
        <f t="shared" si="17"/>
        <v>0</v>
      </c>
      <c r="O862" s="2"/>
      <c r="P862" s="2"/>
      <c r="Q862" s="2"/>
      <c r="R862" s="2"/>
      <c r="S862" s="2"/>
      <c r="T862" s="2"/>
      <c r="U862" s="2"/>
      <c r="V862" s="2"/>
      <c r="W862" s="2"/>
      <c r="X862" s="2"/>
      <c r="Y862" s="2"/>
      <c r="Z862" s="2"/>
    </row>
    <row r="863" spans="1:26" ht="16">
      <c r="A863" s="34">
        <v>13.4</v>
      </c>
      <c r="B863" s="605" t="s">
        <v>1866</v>
      </c>
      <c r="C863" s="468">
        <v>-7000</v>
      </c>
      <c r="D863" s="2"/>
      <c r="E863" s="2"/>
      <c r="F863" s="2"/>
      <c r="G863" s="2"/>
      <c r="I863" s="2"/>
      <c r="J863" s="2"/>
      <c r="K863" s="34"/>
      <c r="L863" s="468">
        <v>-7000</v>
      </c>
      <c r="M863" s="2"/>
      <c r="N863" s="49">
        <f t="shared" si="17"/>
        <v>0</v>
      </c>
      <c r="O863" s="2"/>
      <c r="P863" s="2"/>
      <c r="Q863" s="2"/>
      <c r="R863" s="2"/>
      <c r="S863" s="2"/>
      <c r="T863" s="2"/>
      <c r="U863" s="2"/>
      <c r="V863" s="2"/>
      <c r="W863" s="2"/>
      <c r="X863" s="2"/>
      <c r="Y863" s="2"/>
      <c r="Z863" s="2"/>
    </row>
    <row r="864" spans="1:26" ht="16">
      <c r="A864" s="34">
        <v>14</v>
      </c>
      <c r="B864" s="34" t="s">
        <v>610</v>
      </c>
      <c r="C864" s="468">
        <v>-15000</v>
      </c>
      <c r="D864" s="2"/>
      <c r="E864" s="2"/>
      <c r="F864" s="2"/>
      <c r="G864" s="2"/>
      <c r="H864" s="2"/>
      <c r="I864" s="2"/>
      <c r="J864" s="2"/>
      <c r="K864" s="34"/>
      <c r="L864" s="468">
        <f>C864</f>
        <v>-15000</v>
      </c>
      <c r="M864" s="2"/>
      <c r="N864" s="49">
        <f t="shared" si="17"/>
        <v>0</v>
      </c>
      <c r="O864" s="2"/>
      <c r="P864" s="2"/>
      <c r="Q864" s="2"/>
      <c r="R864" s="2"/>
      <c r="S864" s="2"/>
      <c r="T864" s="2"/>
      <c r="U864" s="2"/>
      <c r="V864" s="2"/>
      <c r="W864" s="2"/>
      <c r="X864" s="2"/>
      <c r="Y864" s="2"/>
      <c r="Z864" s="2"/>
    </row>
    <row r="865" spans="1:26" ht="16">
      <c r="A865" s="34">
        <v>15</v>
      </c>
      <c r="B865" s="34" t="s">
        <v>123</v>
      </c>
      <c r="C865" s="468">
        <f>M865</f>
        <v>-242400</v>
      </c>
      <c r="D865" s="468"/>
      <c r="E865" s="468"/>
      <c r="F865" s="468"/>
      <c r="G865" s="468"/>
      <c r="H865" s="468"/>
      <c r="I865" s="468"/>
      <c r="J865" s="468"/>
      <c r="K865" s="468"/>
      <c r="L865" s="468"/>
      <c r="M865" s="468">
        <f>-40%*SUM(K848:L864)</f>
        <v>-242400</v>
      </c>
      <c r="N865" s="49">
        <f t="shared" si="17"/>
        <v>0</v>
      </c>
      <c r="O865" s="2"/>
      <c r="P865" s="2"/>
      <c r="Q865" s="2"/>
      <c r="R865" s="2"/>
      <c r="S865" s="2"/>
      <c r="T865" s="2"/>
      <c r="U865" s="2"/>
      <c r="V865" s="2"/>
      <c r="W865" s="2"/>
      <c r="X865" s="2"/>
      <c r="Y865" s="2"/>
      <c r="Z865" s="2"/>
    </row>
    <row r="866" spans="1:26" ht="16">
      <c r="A866" s="34"/>
      <c r="B866" s="34" t="s">
        <v>436</v>
      </c>
      <c r="C866" s="610">
        <f>SUM(C848:C865)</f>
        <v>686600</v>
      </c>
      <c r="D866" s="610">
        <f t="shared" ref="D866:M866" si="18">SUM(D848:D865)</f>
        <v>20000</v>
      </c>
      <c r="E866" s="610">
        <f t="shared" si="18"/>
        <v>282000</v>
      </c>
      <c r="F866" s="610">
        <f t="shared" si="18"/>
        <v>75000</v>
      </c>
      <c r="G866" s="611">
        <f t="shared" si="18"/>
        <v>0</v>
      </c>
      <c r="H866" s="611">
        <f t="shared" si="18"/>
        <v>300000</v>
      </c>
      <c r="I866" s="612">
        <f t="shared" si="18"/>
        <v>180000</v>
      </c>
      <c r="J866" s="612">
        <f t="shared" si="18"/>
        <v>220000</v>
      </c>
      <c r="K866" s="612">
        <f t="shared" si="18"/>
        <v>800000</v>
      </c>
      <c r="L866" s="612">
        <f t="shared" si="18"/>
        <v>-194000</v>
      </c>
      <c r="M866" s="612">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1870</v>
      </c>
      <c r="B868" s="551"/>
      <c r="C868" s="551"/>
      <c r="D868" s="551"/>
      <c r="E868" s="551"/>
      <c r="F868" s="551"/>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1871</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1872</v>
      </c>
      <c r="B872" s="89"/>
      <c r="C872" s="89"/>
      <c r="D872" s="2"/>
      <c r="E872" s="2"/>
      <c r="F872" s="699" t="s">
        <v>1883</v>
      </c>
      <c r="G872" s="699"/>
      <c r="H872" s="699"/>
      <c r="I872" s="699"/>
      <c r="J872" s="699"/>
      <c r="K872" s="2"/>
      <c r="L872" s="2"/>
      <c r="M872" s="2"/>
      <c r="N872" s="2"/>
      <c r="O872" s="2"/>
      <c r="P872" s="2"/>
      <c r="Q872" s="2"/>
      <c r="R872" s="2"/>
      <c r="S872" s="2"/>
      <c r="T872" s="2"/>
      <c r="U872" s="2"/>
      <c r="V872" s="2"/>
      <c r="W872" s="2"/>
      <c r="X872" s="2"/>
      <c r="Y872" s="2"/>
      <c r="Z872" s="2"/>
    </row>
    <row r="873" spans="1:26" ht="16">
      <c r="A873" s="2"/>
      <c r="B873" s="2"/>
      <c r="C873" s="613" t="s">
        <v>644</v>
      </c>
      <c r="D873" s="2"/>
      <c r="E873" s="2"/>
      <c r="F873" s="2"/>
      <c r="G873" s="614" t="s">
        <v>644</v>
      </c>
      <c r="H873" s="34"/>
      <c r="I873" s="34"/>
      <c r="J873" s="34"/>
      <c r="K873" s="614" t="s">
        <v>644</v>
      </c>
      <c r="L873" s="2"/>
      <c r="M873" s="2"/>
      <c r="N873" s="2"/>
      <c r="O873" s="2"/>
      <c r="P873" s="2"/>
      <c r="Q873" s="2"/>
      <c r="R873" s="2"/>
      <c r="S873" s="2"/>
      <c r="T873" s="2"/>
      <c r="U873" s="2"/>
      <c r="V873" s="2"/>
      <c r="W873" s="2"/>
      <c r="X873" s="2"/>
      <c r="Y873" s="2"/>
      <c r="Z873" s="2"/>
    </row>
    <row r="874" spans="1:26" ht="16">
      <c r="A874" s="2" t="s">
        <v>1873</v>
      </c>
      <c r="B874" s="2"/>
      <c r="C874" s="468">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8">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3">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8">
        <f>L860+L862+L863</f>
        <v>-43000</v>
      </c>
      <c r="D877" s="2"/>
      <c r="E877" s="2"/>
      <c r="F877" s="2" t="s">
        <v>66</v>
      </c>
      <c r="G877" s="468">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3">
        <f>C876+C877</f>
        <v>621000</v>
      </c>
      <c r="D878" s="2"/>
      <c r="E878" s="2"/>
      <c r="F878" s="2" t="s">
        <v>493</v>
      </c>
      <c r="G878" s="468">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8">
        <f>L864</f>
        <v>-15000</v>
      </c>
      <c r="D879" s="2"/>
      <c r="E879" s="2"/>
      <c r="F879" s="2" t="s">
        <v>1546</v>
      </c>
      <c r="G879" s="468">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3">
        <f>C878+C879</f>
        <v>606000</v>
      </c>
      <c r="D880" s="2"/>
      <c r="E880" s="2"/>
      <c r="F880" s="2"/>
      <c r="G880" s="553">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1880</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13" t="s">
        <v>644</v>
      </c>
      <c r="D883" s="2"/>
      <c r="E883" s="2"/>
      <c r="F883" s="2" t="s">
        <v>1858</v>
      </c>
      <c r="G883" s="468">
        <f>D866</f>
        <v>20000</v>
      </c>
      <c r="H883" s="2"/>
      <c r="I883" s="2" t="s">
        <v>1867</v>
      </c>
      <c r="J883" s="2"/>
      <c r="K883" s="468">
        <f>H866</f>
        <v>300000</v>
      </c>
      <c r="L883" s="2"/>
      <c r="M883" s="2"/>
      <c r="N883" s="2"/>
      <c r="O883" s="2"/>
      <c r="P883" s="2"/>
      <c r="Q883" s="2"/>
      <c r="R883" s="2"/>
      <c r="S883" s="2"/>
      <c r="T883" s="2"/>
      <c r="U883" s="2"/>
      <c r="V883" s="2"/>
      <c r="W883" s="2"/>
      <c r="X883" s="2"/>
      <c r="Y883" s="2"/>
      <c r="Z883" s="2"/>
    </row>
    <row r="884" spans="1:26" ht="16">
      <c r="A884" s="2" t="s">
        <v>1881</v>
      </c>
      <c r="B884" s="2"/>
      <c r="C884" s="34">
        <v>0</v>
      </c>
      <c r="D884" s="2"/>
      <c r="E884" s="2"/>
      <c r="F884" s="2"/>
      <c r="G884" s="553">
        <f>SUM(G883)</f>
        <v>20000</v>
      </c>
      <c r="H884" s="2"/>
      <c r="I884" s="2"/>
      <c r="J884" s="2"/>
      <c r="K884" s="553">
        <f>SUM(K883)</f>
        <v>300000</v>
      </c>
      <c r="L884" s="2"/>
      <c r="M884" s="2"/>
      <c r="N884" s="2"/>
      <c r="O884" s="2"/>
      <c r="P884" s="2"/>
      <c r="Q884" s="2"/>
      <c r="R884" s="2"/>
      <c r="S884" s="2"/>
      <c r="T884" s="2"/>
      <c r="U884" s="2"/>
      <c r="V884" s="2"/>
      <c r="W884" s="2"/>
      <c r="X884" s="2"/>
      <c r="Y884" s="2"/>
      <c r="Z884" s="2"/>
    </row>
    <row r="885" spans="1:26" ht="16">
      <c r="A885" s="2" t="s">
        <v>664</v>
      </c>
      <c r="B885" s="2"/>
      <c r="C885" s="468">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8">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1882</v>
      </c>
      <c r="B887" s="2"/>
      <c r="C887" s="553">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8">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8">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8">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3">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3">
        <f>G880+G884</f>
        <v>1063600</v>
      </c>
      <c r="H895" s="2"/>
      <c r="I895" s="2" t="s">
        <v>561</v>
      </c>
      <c r="J895" s="2"/>
      <c r="K895" s="553">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1884</v>
      </c>
      <c r="B898" s="2"/>
      <c r="C898" s="2"/>
      <c r="D898" s="2"/>
      <c r="E898" s="2"/>
      <c r="F898" s="2" t="s">
        <v>1885</v>
      </c>
      <c r="G898" s="2"/>
      <c r="H898" s="2"/>
      <c r="I898" s="2"/>
      <c r="J898" s="2"/>
      <c r="K898" s="2"/>
      <c r="L898" s="2"/>
      <c r="M898" s="2"/>
      <c r="N898" s="2"/>
      <c r="O898" s="2"/>
      <c r="P898" s="2"/>
      <c r="Q898" s="2"/>
      <c r="R898" s="2"/>
      <c r="S898" s="2"/>
      <c r="T898" s="2"/>
      <c r="U898" s="2"/>
      <c r="V898" s="2"/>
      <c r="W898" s="2"/>
      <c r="X898" s="2"/>
      <c r="Y898" s="2"/>
      <c r="Z898" s="2"/>
    </row>
    <row r="899" spans="1:26" ht="16">
      <c r="A899" s="2" t="s">
        <v>1874</v>
      </c>
      <c r="B899" s="2"/>
      <c r="C899" s="2"/>
      <c r="D899" s="2"/>
      <c r="E899" s="2"/>
      <c r="F899" s="2" t="s">
        <v>1886</v>
      </c>
      <c r="G899" s="2"/>
      <c r="H899" s="2"/>
      <c r="I899" s="2"/>
      <c r="J899" s="2"/>
      <c r="K899" s="2"/>
      <c r="L899" s="2"/>
      <c r="M899" s="2"/>
      <c r="N899" s="2"/>
      <c r="O899" s="2"/>
      <c r="P899" s="2"/>
      <c r="Q899" s="2"/>
      <c r="R899" s="2"/>
      <c r="S899" s="2"/>
      <c r="T899" s="2"/>
      <c r="U899" s="2"/>
      <c r="V899" s="2"/>
      <c r="W899" s="2"/>
      <c r="X899" s="2"/>
      <c r="Y899" s="2"/>
      <c r="Z899" s="2"/>
    </row>
    <row r="900" spans="1:26" ht="16">
      <c r="A900" s="2" t="s">
        <v>1875</v>
      </c>
      <c r="B900" s="2"/>
      <c r="C900" s="2"/>
      <c r="D900" s="2"/>
      <c r="E900" s="2"/>
      <c r="F900" s="2" t="s">
        <v>1887</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1888</v>
      </c>
      <c r="G901" s="2"/>
      <c r="H901" s="2"/>
      <c r="I901" s="2"/>
      <c r="J901" s="2"/>
      <c r="K901" s="2"/>
      <c r="L901" s="2"/>
      <c r="M901" s="2"/>
      <c r="N901" s="2"/>
      <c r="O901" s="2"/>
      <c r="P901" s="2"/>
      <c r="Q901" s="2"/>
      <c r="R901" s="2"/>
      <c r="S901" s="2"/>
      <c r="T901" s="2"/>
      <c r="U901" s="2"/>
      <c r="V901" s="2"/>
      <c r="W901" s="2"/>
      <c r="X901" s="2"/>
      <c r="Y901" s="2"/>
      <c r="Z901" s="2"/>
    </row>
    <row r="902" spans="1:26" ht="16">
      <c r="A902" s="2" t="s">
        <v>1876</v>
      </c>
      <c r="B902" s="2"/>
      <c r="C902" s="2"/>
      <c r="D902" s="2"/>
      <c r="E902" s="2"/>
      <c r="F902" s="2" t="s">
        <v>1889</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1890</v>
      </c>
      <c r="G903" s="2"/>
      <c r="H903" s="2"/>
      <c r="I903" s="2"/>
      <c r="J903" s="2"/>
      <c r="K903" s="2"/>
      <c r="L903" s="2"/>
      <c r="M903" s="2"/>
      <c r="N903" s="2"/>
      <c r="O903" s="2"/>
      <c r="P903" s="2"/>
      <c r="Q903" s="2"/>
      <c r="R903" s="2"/>
      <c r="S903" s="2"/>
      <c r="T903" s="2"/>
      <c r="U903" s="2"/>
      <c r="V903" s="2"/>
      <c r="W903" s="2"/>
      <c r="X903" s="2"/>
      <c r="Y903" s="2"/>
      <c r="Z903" s="2"/>
    </row>
    <row r="904" spans="1:26" ht="16">
      <c r="A904" s="2" t="s">
        <v>1877</v>
      </c>
      <c r="B904" s="2"/>
      <c r="C904" s="2"/>
      <c r="D904" s="2"/>
      <c r="E904" s="2"/>
      <c r="F904" s="2" t="s">
        <v>1891</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1878</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1879</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700" t="s">
        <v>1892</v>
      </c>
      <c r="B917" s="697"/>
      <c r="C917" s="697"/>
      <c r="D917" s="697"/>
      <c r="E917" s="697"/>
      <c r="F917" s="697"/>
      <c r="G917" s="697"/>
      <c r="H917" s="697"/>
      <c r="I917" s="697"/>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1893</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96" t="s">
        <v>558</v>
      </c>
      <c r="B980" s="697"/>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96" t="s">
        <v>593</v>
      </c>
      <c r="B981" s="697"/>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96" t="s">
        <v>596</v>
      </c>
      <c r="B983" s="697"/>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96" t="s">
        <v>598</v>
      </c>
      <c r="B984" s="697"/>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96" t="s">
        <v>600</v>
      </c>
      <c r="B985" s="697"/>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96" t="s">
        <v>558</v>
      </c>
      <c r="D1066" s="697"/>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96" t="s">
        <v>659</v>
      </c>
      <c r="D1067" s="697"/>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96" t="s">
        <v>596</v>
      </c>
      <c r="D1069" s="697"/>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96" t="s">
        <v>598</v>
      </c>
      <c r="D1070" s="697"/>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96" t="s">
        <v>600</v>
      </c>
      <c r="D1071" s="697"/>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1894</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1895</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1896</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1897</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1898</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1899</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1900</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1901</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1902</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1903</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1904</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1905</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1906</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1907</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1908</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1909</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1910</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1911</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692" t="s">
        <v>703</v>
      </c>
      <c r="B1206" s="693"/>
      <c r="C1206" s="693"/>
      <c r="D1206" s="693"/>
      <c r="E1206" s="693"/>
      <c r="F1206" s="693"/>
      <c r="G1206" s="693"/>
      <c r="H1206" s="693"/>
      <c r="I1206" s="693"/>
      <c r="J1206" s="693"/>
      <c r="K1206" s="693"/>
      <c r="L1206" s="693"/>
      <c r="M1206" s="693"/>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698" t="s">
        <v>738</v>
      </c>
      <c r="F1252" s="693"/>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698" t="s">
        <v>738</v>
      </c>
      <c r="F1292" s="693"/>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1912</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1913</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1914</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1915</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1916</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1917</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1918</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1919</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1920</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1921</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1922</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1923</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1924</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1925</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1926</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1927</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1928</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1929</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1930</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1931</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1932</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1921</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1933</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1934</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1935</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1936</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692" t="s">
        <v>825</v>
      </c>
      <c r="B1464" s="693"/>
      <c r="C1464" s="693"/>
      <c r="D1464" s="693"/>
      <c r="E1464" s="693"/>
      <c r="F1464" s="693"/>
      <c r="G1464" s="693"/>
      <c r="H1464" s="693"/>
      <c r="I1464" s="693"/>
      <c r="J1464" s="693"/>
      <c r="K1464" s="693"/>
      <c r="L1464" s="693"/>
      <c r="M1464" s="693"/>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694" t="s">
        <v>883</v>
      </c>
      <c r="E1596" s="695"/>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topLeftCell="A827"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724" t="s">
        <v>1937</v>
      </c>
      <c r="B1" s="724"/>
      <c r="C1" s="724"/>
      <c r="D1" s="724"/>
      <c r="E1" s="724"/>
      <c r="F1" s="724"/>
      <c r="G1" s="724"/>
      <c r="H1" s="724"/>
    </row>
    <row r="3" spans="1:8">
      <c r="A3" s="3" t="s">
        <v>1938</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8">
        <v>100000</v>
      </c>
      <c r="E14" s="3" t="s">
        <v>1939</v>
      </c>
    </row>
    <row r="15" spans="1:8">
      <c r="C15" s="3" t="s">
        <v>972</v>
      </c>
      <c r="D15" s="448">
        <v>-20000</v>
      </c>
      <c r="E15" s="3" t="s">
        <v>973</v>
      </c>
    </row>
    <row r="16" spans="1:8">
      <c r="C16" s="3" t="s">
        <v>845</v>
      </c>
      <c r="D16" s="449">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1941</v>
      </c>
      <c r="I26" s="3" t="s">
        <v>1943</v>
      </c>
    </row>
    <row r="27" spans="1:9">
      <c r="A27" s="3" t="s">
        <v>1940</v>
      </c>
      <c r="E27" s="3" t="s">
        <v>1942</v>
      </c>
      <c r="I27" s="3" t="s">
        <v>1944</v>
      </c>
    </row>
    <row r="28" spans="1:9">
      <c r="A28" s="3" t="s">
        <v>982</v>
      </c>
      <c r="I28" s="3" t="s">
        <v>1945</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1946</v>
      </c>
    </row>
    <row r="39" spans="1:9" s="488" customFormat="1">
      <c r="A39" s="488" t="s">
        <v>990</v>
      </c>
    </row>
    <row r="40" spans="1:9" s="488" customFormat="1">
      <c r="A40" s="488" t="s">
        <v>1949</v>
      </c>
    </row>
    <row r="41" spans="1:9" s="488" customFormat="1"/>
    <row r="42" spans="1:9" s="488" customFormat="1">
      <c r="A42" s="488" t="s">
        <v>994</v>
      </c>
    </row>
    <row r="43" spans="1:9" s="488" customFormat="1">
      <c r="A43" s="488" t="s">
        <v>995</v>
      </c>
    </row>
    <row r="44" spans="1:9" s="488" customFormat="1">
      <c r="A44" s="488" t="s">
        <v>996</v>
      </c>
    </row>
    <row r="45" spans="1:9" s="488" customFormat="1">
      <c r="A45" s="488" t="s">
        <v>1002</v>
      </c>
    </row>
    <row r="46" spans="1:9" s="488" customFormat="1">
      <c r="A46" s="488" t="s">
        <v>1003</v>
      </c>
    </row>
    <row r="48" spans="1:9">
      <c r="A48" s="464" t="s">
        <v>1948</v>
      </c>
      <c r="B48" s="464"/>
      <c r="C48" s="443" t="s">
        <v>131</v>
      </c>
      <c r="D48" s="443"/>
      <c r="E48" s="443"/>
      <c r="F48" s="443"/>
      <c r="G48" s="443" t="s">
        <v>196</v>
      </c>
      <c r="H48" s="443" t="s">
        <v>78</v>
      </c>
      <c r="I48" s="443"/>
    </row>
    <row r="49" spans="1:9">
      <c r="A49" s="488"/>
      <c r="B49" s="488"/>
      <c r="C49" s="451" t="s">
        <v>66</v>
      </c>
      <c r="D49" s="451" t="s">
        <v>790</v>
      </c>
      <c r="E49" s="451" t="s">
        <v>991</v>
      </c>
      <c r="F49" s="451" t="s">
        <v>992</v>
      </c>
      <c r="G49" s="451"/>
      <c r="H49" s="451" t="s">
        <v>249</v>
      </c>
      <c r="I49" s="451" t="s">
        <v>993</v>
      </c>
    </row>
    <row r="50" spans="1:9">
      <c r="A50" s="488" t="s">
        <v>1947</v>
      </c>
      <c r="B50" s="488"/>
      <c r="C50" s="616"/>
      <c r="D50" s="618">
        <v>500000</v>
      </c>
      <c r="E50" s="618">
        <v>100000</v>
      </c>
      <c r="F50" s="618">
        <f>-8%*(D50+E50)</f>
        <v>-48000</v>
      </c>
      <c r="G50" s="616"/>
      <c r="H50" s="616"/>
      <c r="I50" s="616"/>
    </row>
    <row r="51" spans="1:9">
      <c r="A51" s="488" t="s">
        <v>1004</v>
      </c>
      <c r="B51" s="615"/>
      <c r="C51" s="618">
        <f>H51-450000</f>
        <v>300000</v>
      </c>
      <c r="D51" s="618">
        <v>450000</v>
      </c>
      <c r="E51" s="616"/>
      <c r="F51" s="616"/>
      <c r="G51" s="616"/>
      <c r="H51" s="618">
        <v>750000</v>
      </c>
      <c r="I51" s="616"/>
    </row>
    <row r="52" spans="1:9">
      <c r="A52" s="488" t="s">
        <v>1008</v>
      </c>
      <c r="B52" s="488"/>
      <c r="C52" s="618">
        <v>280000</v>
      </c>
      <c r="D52" s="618">
        <f>-C52</f>
        <v>-280000</v>
      </c>
      <c r="E52" s="616"/>
      <c r="F52" s="616"/>
      <c r="G52" s="616"/>
      <c r="H52" s="616"/>
      <c r="I52" s="616"/>
    </row>
    <row r="53" spans="1:9">
      <c r="A53" s="488" t="s">
        <v>1009</v>
      </c>
      <c r="B53" s="488"/>
      <c r="C53" s="616"/>
      <c r="D53" s="618">
        <v>-100000</v>
      </c>
      <c r="E53" s="618">
        <f>-D53</f>
        <v>100000</v>
      </c>
      <c r="F53" s="616"/>
      <c r="G53" s="616"/>
      <c r="H53" s="616"/>
      <c r="I53" s="616"/>
    </row>
    <row r="54" spans="1:9">
      <c r="A54" s="488" t="s">
        <v>1013</v>
      </c>
      <c r="B54" s="615"/>
      <c r="C54" s="618">
        <v>40000</v>
      </c>
      <c r="D54" s="615"/>
      <c r="E54" s="618">
        <f>-C54</f>
        <v>-40000</v>
      </c>
      <c r="F54" s="615"/>
      <c r="G54" s="615"/>
      <c r="H54" s="615"/>
      <c r="I54" s="615"/>
    </row>
    <row r="55" spans="1:9">
      <c r="A55" s="488" t="s">
        <v>1014</v>
      </c>
      <c r="B55" s="488"/>
      <c r="C55" s="615"/>
      <c r="D55" s="488"/>
      <c r="E55" s="618">
        <v>-30000</v>
      </c>
      <c r="F55" s="618">
        <f>-E55</f>
        <v>30000</v>
      </c>
      <c r="G55" s="615"/>
      <c r="H55" s="615"/>
      <c r="I55" s="615"/>
    </row>
    <row r="56" spans="1:9">
      <c r="A56" s="488" t="s">
        <v>1020</v>
      </c>
      <c r="B56" s="488"/>
      <c r="C56" s="615"/>
      <c r="D56" s="618">
        <v>-12000</v>
      </c>
      <c r="E56" s="615"/>
      <c r="F56" s="618">
        <f>-D56</f>
        <v>12000</v>
      </c>
      <c r="G56" s="615"/>
      <c r="H56" s="615"/>
      <c r="I56" s="615"/>
    </row>
    <row r="57" spans="1:9">
      <c r="A57" s="620" t="s">
        <v>1030</v>
      </c>
      <c r="B57" s="615"/>
      <c r="C57" s="615"/>
      <c r="D57" s="615"/>
      <c r="E57" s="615"/>
      <c r="F57" s="623">
        <f>F58-F56-F55-F50</f>
        <v>-49040</v>
      </c>
      <c r="G57" s="615"/>
      <c r="H57" s="615"/>
      <c r="I57" s="618">
        <f>F57</f>
        <v>-49040</v>
      </c>
    </row>
    <row r="58" spans="1:9">
      <c r="A58" s="3" t="s">
        <v>1021</v>
      </c>
      <c r="C58" s="617"/>
      <c r="D58" s="619">
        <f>SUM(D50:D57)</f>
        <v>558000</v>
      </c>
      <c r="E58" s="619">
        <f>SUM(E50:E57)</f>
        <v>130000</v>
      </c>
      <c r="F58" s="622">
        <f>-(D58+E58)*8%</f>
        <v>-55040</v>
      </c>
      <c r="G58" s="621"/>
      <c r="H58" s="619">
        <f>H51</f>
        <v>750000</v>
      </c>
      <c r="I58" s="619">
        <f>I57</f>
        <v>-49040</v>
      </c>
    </row>
    <row r="64" spans="1:9" ht="14" thickBot="1"/>
    <row r="65" spans="1:7" ht="14" thickBot="1">
      <c r="A65" s="624" t="s">
        <v>1951</v>
      </c>
      <c r="B65" s="461"/>
      <c r="C65" s="461"/>
      <c r="D65" s="461"/>
      <c r="E65" s="466" t="s">
        <v>1950</v>
      </c>
      <c r="F65" s="466"/>
      <c r="G65" s="462">
        <v>44926</v>
      </c>
    </row>
    <row r="66" spans="1:7" ht="14" thickBot="1">
      <c r="A66" s="465" t="s">
        <v>1041</v>
      </c>
      <c r="B66" s="464"/>
      <c r="C66" s="463">
        <v>44926</v>
      </c>
      <c r="E66" s="3" t="s">
        <v>705</v>
      </c>
      <c r="G66" s="455">
        <f>D58</f>
        <v>558000</v>
      </c>
    </row>
    <row r="67" spans="1:7">
      <c r="A67" s="454" t="s">
        <v>1001</v>
      </c>
      <c r="C67" s="447">
        <f>-F58</f>
        <v>55040</v>
      </c>
      <c r="E67" s="3" t="s">
        <v>1038</v>
      </c>
      <c r="G67" s="455">
        <f>E58</f>
        <v>130000</v>
      </c>
    </row>
    <row r="68" spans="1:7">
      <c r="A68" s="454" t="s">
        <v>1037</v>
      </c>
      <c r="C68" s="447">
        <f>-I57</f>
        <v>49040</v>
      </c>
      <c r="E68" s="3" t="s">
        <v>1039</v>
      </c>
      <c r="G68" s="456">
        <f>G66+G67</f>
        <v>688000</v>
      </c>
    </row>
    <row r="69" spans="1:7">
      <c r="A69" s="454"/>
      <c r="E69" s="3" t="s">
        <v>1040</v>
      </c>
      <c r="G69" s="455">
        <f>F58</f>
        <v>-55040</v>
      </c>
    </row>
    <row r="70" spans="1:7" ht="14" thickBot="1">
      <c r="A70" s="457"/>
      <c r="B70" s="458"/>
      <c r="C70" s="458"/>
      <c r="D70" s="458"/>
      <c r="E70" s="458" t="s">
        <v>845</v>
      </c>
      <c r="F70" s="458"/>
      <c r="G70" s="459">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0">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0">
        <v>0.08</v>
      </c>
    </row>
    <row r="105" spans="1:8">
      <c r="A105" s="3" t="s">
        <v>1029</v>
      </c>
      <c r="C105" s="447">
        <f>C101*C103</f>
        <v>55040</v>
      </c>
    </row>
    <row r="107" spans="1:8">
      <c r="A107" s="444" t="s">
        <v>1952</v>
      </c>
      <c r="B107" s="445"/>
      <c r="C107" s="445"/>
      <c r="D107" s="445"/>
      <c r="E107" s="445"/>
      <c r="F107" s="445"/>
      <c r="G107" s="445"/>
      <c r="H107" s="445"/>
    </row>
    <row r="108" spans="1:8">
      <c r="A108" s="3" t="s">
        <v>1953</v>
      </c>
    </row>
    <row r="110" spans="1:8">
      <c r="C110" s="574">
        <v>45657</v>
      </c>
      <c r="D110" s="574">
        <v>46022</v>
      </c>
    </row>
    <row r="111" spans="1:8">
      <c r="B111" s="3" t="s">
        <v>1954</v>
      </c>
      <c r="C111" s="625">
        <v>800000</v>
      </c>
      <c r="D111" s="625">
        <v>650000</v>
      </c>
    </row>
    <row r="112" spans="1:8">
      <c r="B112" s="3" t="s">
        <v>790</v>
      </c>
      <c r="C112" s="625">
        <v>100000</v>
      </c>
      <c r="D112" s="625">
        <v>120000</v>
      </c>
    </row>
    <row r="113" spans="1:6">
      <c r="B113" s="3" t="s">
        <v>1955</v>
      </c>
      <c r="C113" s="625">
        <v>7000</v>
      </c>
      <c r="D113" s="578" t="s">
        <v>726</v>
      </c>
    </row>
    <row r="115" spans="1:6">
      <c r="A115" s="3" t="s">
        <v>1956</v>
      </c>
    </row>
    <row r="116" spans="1:6">
      <c r="A116" s="3" t="s">
        <v>1957</v>
      </c>
    </row>
    <row r="118" spans="1:6">
      <c r="A118" s="3" t="s">
        <v>1958</v>
      </c>
    </row>
    <row r="119" spans="1:6">
      <c r="A119" s="3" t="s">
        <v>1959</v>
      </c>
    </row>
    <row r="121" spans="1:6">
      <c r="A121" s="443" t="s">
        <v>1108</v>
      </c>
    </row>
    <row r="123" spans="1:6">
      <c r="A123" s="3" t="s">
        <v>1960</v>
      </c>
    </row>
    <row r="124" spans="1:6">
      <c r="A124" s="3" t="s">
        <v>1961</v>
      </c>
    </row>
    <row r="125" spans="1:6">
      <c r="A125" s="3" t="s">
        <v>1962</v>
      </c>
    </row>
    <row r="126" spans="1:6">
      <c r="A126" s="3" t="s">
        <v>1963</v>
      </c>
    </row>
    <row r="128" spans="1:6">
      <c r="F128" s="626" t="s">
        <v>644</v>
      </c>
    </row>
    <row r="129" spans="2:8">
      <c r="C129" s="3" t="s">
        <v>1964</v>
      </c>
      <c r="F129" s="625">
        <v>7000</v>
      </c>
      <c r="G129" s="578" t="s">
        <v>1967</v>
      </c>
    </row>
    <row r="130" spans="2:8">
      <c r="C130" s="3" t="s">
        <v>1965</v>
      </c>
      <c r="F130" s="448">
        <v>-9000</v>
      </c>
      <c r="G130" s="578" t="s">
        <v>1967</v>
      </c>
    </row>
    <row r="131" spans="2:8">
      <c r="B131" s="443" t="s">
        <v>1984</v>
      </c>
      <c r="C131" s="3" t="s">
        <v>1968</v>
      </c>
      <c r="F131" s="627">
        <f>F132-F130-F129</f>
        <v>9770</v>
      </c>
      <c r="G131" s="578" t="s">
        <v>1508</v>
      </c>
    </row>
    <row r="132" spans="2:8">
      <c r="B132" s="443" t="s">
        <v>1983</v>
      </c>
      <c r="C132" s="3" t="s">
        <v>1966</v>
      </c>
      <c r="F132" s="625">
        <f>111000*7%</f>
        <v>7770.0000000000009</v>
      </c>
      <c r="G132" s="578"/>
      <c r="H132" s="3" t="s">
        <v>1969</v>
      </c>
    </row>
    <row r="134" spans="2:8">
      <c r="G134" s="3" t="s">
        <v>1970</v>
      </c>
    </row>
    <row r="135" spans="2:8">
      <c r="G135" s="3" t="s">
        <v>1971</v>
      </c>
    </row>
    <row r="136" spans="2:8">
      <c r="G136" s="3" t="s">
        <v>1972</v>
      </c>
    </row>
    <row r="137" spans="2:8">
      <c r="G137" s="3" t="s">
        <v>1973</v>
      </c>
    </row>
    <row r="138" spans="2:8">
      <c r="G138" s="3" t="s">
        <v>1974</v>
      </c>
    </row>
    <row r="139" spans="2:8">
      <c r="G139" s="3" t="s">
        <v>1975</v>
      </c>
    </row>
    <row r="140" spans="2:8">
      <c r="G140" s="3" t="s">
        <v>1976</v>
      </c>
    </row>
    <row r="141" spans="2:8">
      <c r="G141" s="3" t="s">
        <v>1977</v>
      </c>
    </row>
    <row r="142" spans="2:8">
      <c r="G142" s="3" t="s">
        <v>1978</v>
      </c>
    </row>
    <row r="143" spans="2:8">
      <c r="G143" s="3" t="s">
        <v>1979</v>
      </c>
    </row>
    <row r="144" spans="2:8">
      <c r="G144" s="3" t="s">
        <v>1980</v>
      </c>
    </row>
    <row r="145" spans="1:8">
      <c r="G145" s="3" t="s">
        <v>1981</v>
      </c>
    </row>
    <row r="146" spans="1:8">
      <c r="G146" s="3" t="s">
        <v>1982</v>
      </c>
    </row>
    <row r="148" spans="1:8">
      <c r="A148" s="444" t="s">
        <v>1985</v>
      </c>
      <c r="B148" s="445"/>
      <c r="C148" s="445"/>
      <c r="D148" s="445"/>
      <c r="E148" s="445"/>
      <c r="F148" s="445"/>
      <c r="G148" s="445"/>
      <c r="H148" s="445"/>
    </row>
    <row r="150" spans="1:8">
      <c r="A150" s="3" t="s">
        <v>1986</v>
      </c>
    </row>
    <row r="151" spans="1:8">
      <c r="A151" s="3" t="s">
        <v>1987</v>
      </c>
    </row>
    <row r="152" spans="1:8">
      <c r="A152" s="3" t="s">
        <v>1988</v>
      </c>
    </row>
    <row r="154" spans="1:8">
      <c r="A154" s="3" t="s">
        <v>1989</v>
      </c>
    </row>
    <row r="155" spans="1:8">
      <c r="E155" s="628" t="s">
        <v>1044</v>
      </c>
    </row>
    <row r="156" spans="1:8">
      <c r="C156" s="3" t="s">
        <v>1990</v>
      </c>
      <c r="E156" s="446">
        <v>1500000</v>
      </c>
    </row>
    <row r="157" spans="1:8">
      <c r="C157" s="3" t="s">
        <v>1991</v>
      </c>
      <c r="E157" s="446">
        <v>14000</v>
      </c>
    </row>
    <row r="159" spans="1:8">
      <c r="A159" s="3" t="s">
        <v>2001</v>
      </c>
    </row>
    <row r="161" spans="1:8">
      <c r="C161" s="725" t="s">
        <v>493</v>
      </c>
      <c r="D161" s="725"/>
      <c r="E161" s="725"/>
      <c r="F161" s="725"/>
    </row>
    <row r="162" spans="1:8">
      <c r="C162" s="578" t="s">
        <v>455</v>
      </c>
      <c r="D162" s="578" t="s">
        <v>460</v>
      </c>
      <c r="E162" s="578" t="s">
        <v>1334</v>
      </c>
      <c r="F162" s="578" t="s">
        <v>1992</v>
      </c>
      <c r="G162" s="578" t="s">
        <v>436</v>
      </c>
      <c r="H162" s="578" t="s">
        <v>1028</v>
      </c>
    </row>
    <row r="163" spans="1:8">
      <c r="B163" s="628" t="s">
        <v>1995</v>
      </c>
      <c r="C163" s="626" t="s">
        <v>1993</v>
      </c>
      <c r="D163" s="626" t="s">
        <v>1993</v>
      </c>
      <c r="E163" s="626" t="s">
        <v>1993</v>
      </c>
      <c r="F163" s="626" t="s">
        <v>1993</v>
      </c>
      <c r="G163" s="626" t="s">
        <v>1993</v>
      </c>
      <c r="H163" s="626" t="s">
        <v>1994</v>
      </c>
    </row>
    <row r="164" spans="1:8">
      <c r="B164" s="3" t="s">
        <v>1996</v>
      </c>
      <c r="C164" s="625">
        <v>400000</v>
      </c>
      <c r="D164" s="625">
        <v>100000</v>
      </c>
      <c r="E164" s="625">
        <v>50000</v>
      </c>
      <c r="F164" s="625">
        <v>80000</v>
      </c>
      <c r="G164" s="625">
        <f>SUM(C164:F164)</f>
        <v>630000</v>
      </c>
      <c r="H164" s="630">
        <v>1.4999999999999999E-2</v>
      </c>
    </row>
    <row r="165" spans="1:8">
      <c r="B165" s="3" t="s">
        <v>1997</v>
      </c>
      <c r="C165" s="625">
        <v>120000</v>
      </c>
      <c r="D165" s="625">
        <v>30000</v>
      </c>
      <c r="E165" s="625">
        <v>12000</v>
      </c>
      <c r="F165" s="625">
        <v>0</v>
      </c>
      <c r="G165" s="625">
        <f>SUM(C165:F165)</f>
        <v>162000</v>
      </c>
      <c r="H165" s="630">
        <v>0.02</v>
      </c>
    </row>
    <row r="166" spans="1:8">
      <c r="B166" s="3" t="s">
        <v>1998</v>
      </c>
      <c r="C166" s="625">
        <v>40000</v>
      </c>
      <c r="D166" s="625">
        <v>80000</v>
      </c>
      <c r="E166" s="625">
        <v>30000</v>
      </c>
      <c r="F166" s="625">
        <v>28000</v>
      </c>
      <c r="G166" s="625">
        <f>SUM(C166:F166)</f>
        <v>178000</v>
      </c>
      <c r="H166" s="630">
        <v>0.03</v>
      </c>
    </row>
    <row r="167" spans="1:8">
      <c r="B167" s="3" t="s">
        <v>1999</v>
      </c>
      <c r="C167" s="625">
        <v>100000</v>
      </c>
      <c r="D167" s="625">
        <v>80000</v>
      </c>
      <c r="E167" s="625">
        <v>20000</v>
      </c>
      <c r="F167" s="625">
        <v>15000</v>
      </c>
      <c r="G167" s="625">
        <f>SUM(C167:F167)</f>
        <v>215000</v>
      </c>
      <c r="H167" s="630">
        <v>0.04</v>
      </c>
    </row>
    <row r="168" spans="1:8">
      <c r="B168" s="3" t="s">
        <v>2000</v>
      </c>
      <c r="C168" s="625">
        <v>115000</v>
      </c>
      <c r="D168" s="625">
        <v>50000</v>
      </c>
      <c r="E168" s="625">
        <v>50000</v>
      </c>
      <c r="F168" s="625">
        <v>100000</v>
      </c>
      <c r="G168" s="625">
        <f>E156-G164-G165-G166-G167</f>
        <v>315000</v>
      </c>
      <c r="H168" s="630">
        <v>0.1</v>
      </c>
    </row>
    <row r="169" spans="1:8">
      <c r="B169" s="3" t="s">
        <v>436</v>
      </c>
      <c r="C169" s="629">
        <f>SUM(C164:C168)</f>
        <v>775000</v>
      </c>
      <c r="D169" s="629">
        <f t="shared" ref="D169:G169" si="0">SUM(D164:D168)</f>
        <v>340000</v>
      </c>
      <c r="E169" s="629">
        <f t="shared" si="0"/>
        <v>162000</v>
      </c>
      <c r="F169" s="629">
        <f t="shared" si="0"/>
        <v>223000</v>
      </c>
      <c r="G169" s="629">
        <f t="shared" si="0"/>
        <v>1500000</v>
      </c>
    </row>
    <row r="171" spans="1:8">
      <c r="A171" s="3" t="s">
        <v>2002</v>
      </c>
    </row>
    <row r="173" spans="1:8">
      <c r="A173" s="3" t="s">
        <v>989</v>
      </c>
    </row>
    <row r="174" spans="1:8">
      <c r="A174" s="3" t="s">
        <v>2003</v>
      </c>
    </row>
    <row r="175" spans="1:8">
      <c r="A175" s="3" t="s">
        <v>2004</v>
      </c>
    </row>
    <row r="177" spans="1:8">
      <c r="A177" s="3" t="s">
        <v>1108</v>
      </c>
    </row>
    <row r="178" spans="1:8">
      <c r="A178" s="3" t="s">
        <v>2005</v>
      </c>
    </row>
    <row r="179" spans="1:8">
      <c r="A179" s="3" t="s">
        <v>2006</v>
      </c>
    </row>
    <row r="181" spans="1:8">
      <c r="A181" s="3" t="s">
        <v>2007</v>
      </c>
      <c r="D181" s="448">
        <f>SUMPRODUCT(G164:G168,H164:H168)</f>
        <v>58130</v>
      </c>
      <c r="H181" s="3" t="s">
        <v>2008</v>
      </c>
    </row>
    <row r="183" spans="1:8">
      <c r="D183" s="626" t="s">
        <v>644</v>
      </c>
    </row>
    <row r="184" spans="1:8">
      <c r="A184" s="3" t="s">
        <v>2009</v>
      </c>
      <c r="D184" s="625">
        <f>13000</f>
        <v>13000</v>
      </c>
      <c r="E184" s="578" t="s">
        <v>1967</v>
      </c>
    </row>
    <row r="185" spans="1:8">
      <c r="A185" s="3" t="s">
        <v>2010</v>
      </c>
      <c r="D185" s="448">
        <v>-14000</v>
      </c>
      <c r="E185" s="578" t="s">
        <v>1967</v>
      </c>
    </row>
    <row r="186" spans="1:8">
      <c r="A186" s="3" t="s">
        <v>1968</v>
      </c>
      <c r="D186" s="627">
        <f>D187-D185-D184</f>
        <v>59130</v>
      </c>
      <c r="E186" s="578" t="s">
        <v>1508</v>
      </c>
    </row>
    <row r="187" spans="1:8">
      <c r="A187" s="3" t="s">
        <v>1966</v>
      </c>
      <c r="D187" s="625">
        <f>D181</f>
        <v>58130</v>
      </c>
      <c r="E187" s="578"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0" t="s">
        <v>559</v>
      </c>
      <c r="C208" s="453"/>
      <c r="E208" s="460" t="s">
        <v>1080</v>
      </c>
      <c r="F208" s="453"/>
    </row>
    <row r="209" spans="1:8">
      <c r="B209" s="454" t="s">
        <v>909</v>
      </c>
      <c r="C209" s="477" t="s">
        <v>88</v>
      </c>
      <c r="E209" s="454" t="s">
        <v>1081</v>
      </c>
      <c r="F209" s="477" t="s">
        <v>88</v>
      </c>
    </row>
    <row r="210" spans="1:8">
      <c r="B210" s="454" t="s">
        <v>1079</v>
      </c>
      <c r="C210" s="477" t="s">
        <v>89</v>
      </c>
      <c r="E210" s="454" t="s">
        <v>628</v>
      </c>
      <c r="F210" s="477" t="s">
        <v>89</v>
      </c>
    </row>
    <row r="211" spans="1:8" ht="14" thickBot="1">
      <c r="B211" s="457" t="s">
        <v>559</v>
      </c>
      <c r="C211" s="478" t="s">
        <v>91</v>
      </c>
      <c r="E211" s="454" t="s">
        <v>568</v>
      </c>
      <c r="F211" s="477" t="s">
        <v>89</v>
      </c>
    </row>
    <row r="212" spans="1:8" ht="14" thickBot="1">
      <c r="E212" s="457" t="s">
        <v>1080</v>
      </c>
      <c r="F212" s="478" t="s">
        <v>91</v>
      </c>
    </row>
    <row r="213" spans="1:8" ht="14" thickBot="1"/>
    <row r="214" spans="1:8" ht="14" thickBot="1">
      <c r="E214" s="460" t="s">
        <v>1082</v>
      </c>
      <c r="F214" s="453"/>
    </row>
    <row r="215" spans="1:8">
      <c r="B215" s="460" t="s">
        <v>902</v>
      </c>
      <c r="C215" s="453"/>
      <c r="E215" s="454" t="s">
        <v>572</v>
      </c>
      <c r="F215" s="477" t="s">
        <v>88</v>
      </c>
    </row>
    <row r="216" spans="1:8">
      <c r="B216" s="454" t="s">
        <v>569</v>
      </c>
      <c r="C216" s="477" t="s">
        <v>88</v>
      </c>
      <c r="E216" s="454" t="s">
        <v>902</v>
      </c>
      <c r="F216" s="477" t="s">
        <v>88</v>
      </c>
    </row>
    <row r="217" spans="1:8" ht="14" thickBot="1">
      <c r="B217" s="454" t="s">
        <v>570</v>
      </c>
      <c r="C217" s="477" t="s">
        <v>89</v>
      </c>
      <c r="E217" s="457" t="s">
        <v>573</v>
      </c>
      <c r="F217" s="478" t="s">
        <v>89</v>
      </c>
    </row>
    <row r="218" spans="1:8" ht="14" thickBot="1">
      <c r="B218" s="457" t="s">
        <v>1083</v>
      </c>
      <c r="C218" s="478" t="s">
        <v>89</v>
      </c>
    </row>
    <row r="220" spans="1:8">
      <c r="A220" s="3" t="s">
        <v>1084</v>
      </c>
    </row>
    <row r="222" spans="1:8" s="2" customFormat="1" ht="16">
      <c r="A222" s="467" t="s">
        <v>1042</v>
      </c>
      <c r="B222" s="467"/>
      <c r="C222" s="467"/>
      <c r="D222" s="467"/>
      <c r="E222" s="467"/>
      <c r="F222" s="467"/>
      <c r="G222" s="467"/>
      <c r="H222" s="467"/>
    </row>
    <row r="223" spans="1:8" s="2" customFormat="1" ht="16"/>
    <row r="224" spans="1:8" s="2" customFormat="1" ht="16">
      <c r="A224" s="2" t="s">
        <v>1043</v>
      </c>
    </row>
    <row r="225" spans="1:11" s="2" customFormat="1" ht="17" thickBot="1"/>
    <row r="226" spans="1:11" s="2" customFormat="1" ht="16">
      <c r="D226" s="34">
        <v>2017</v>
      </c>
      <c r="E226" s="34">
        <v>2018</v>
      </c>
      <c r="G226" s="479" t="s">
        <v>559</v>
      </c>
      <c r="H226" s="482"/>
      <c r="I226" s="452"/>
      <c r="J226" s="479" t="s">
        <v>1080</v>
      </c>
      <c r="K226" s="482"/>
    </row>
    <row r="227" spans="1:11" s="2" customFormat="1" ht="16">
      <c r="D227" s="90" t="s">
        <v>1044</v>
      </c>
      <c r="E227" s="90" t="s">
        <v>1044</v>
      </c>
      <c r="G227" s="480" t="s">
        <v>909</v>
      </c>
      <c r="H227" s="481" t="s">
        <v>88</v>
      </c>
      <c r="I227" s="452"/>
      <c r="J227" s="480" t="s">
        <v>1081</v>
      </c>
      <c r="K227" s="481" t="s">
        <v>88</v>
      </c>
    </row>
    <row r="228" spans="1:11" s="2" customFormat="1" ht="16">
      <c r="A228" s="2" t="s">
        <v>566</v>
      </c>
      <c r="D228" s="468" t="s">
        <v>726</v>
      </c>
      <c r="E228" s="468">
        <v>90000</v>
      </c>
      <c r="G228" s="480" t="s">
        <v>1079</v>
      </c>
      <c r="H228" s="481" t="s">
        <v>89</v>
      </c>
      <c r="I228" s="452"/>
      <c r="J228" s="480" t="s">
        <v>628</v>
      </c>
      <c r="K228" s="481" t="s">
        <v>89</v>
      </c>
    </row>
    <row r="229" spans="1:11" s="2" customFormat="1" ht="17" thickBot="1">
      <c r="A229" s="2" t="s">
        <v>628</v>
      </c>
      <c r="D229" s="468">
        <v>3000</v>
      </c>
      <c r="E229" s="468">
        <v>14000</v>
      </c>
      <c r="G229" s="483" t="s">
        <v>559</v>
      </c>
      <c r="H229" s="484" t="s">
        <v>91</v>
      </c>
      <c r="I229" s="452"/>
      <c r="J229" s="480" t="s">
        <v>568</v>
      </c>
      <c r="K229" s="481" t="s">
        <v>89</v>
      </c>
    </row>
    <row r="230" spans="1:11" s="2" customFormat="1" ht="17" thickBot="1">
      <c r="A230" s="2" t="s">
        <v>1045</v>
      </c>
      <c r="D230" s="468">
        <v>2000</v>
      </c>
      <c r="E230" s="468">
        <v>1000</v>
      </c>
      <c r="G230" s="452"/>
      <c r="H230" s="452"/>
      <c r="I230" s="452"/>
      <c r="J230" s="483" t="s">
        <v>1080</v>
      </c>
      <c r="K230" s="484" t="s">
        <v>91</v>
      </c>
    </row>
    <row r="231" spans="1:11" s="2" customFormat="1" ht="17" thickBot="1">
      <c r="A231" s="2" t="s">
        <v>909</v>
      </c>
      <c r="D231" s="468">
        <v>80000</v>
      </c>
      <c r="E231" s="468" t="s">
        <v>726</v>
      </c>
      <c r="G231" s="452"/>
      <c r="H231" s="452"/>
      <c r="I231" s="452"/>
      <c r="J231" s="452"/>
      <c r="K231" s="452"/>
    </row>
    <row r="232" spans="1:11" s="2" customFormat="1" ht="17" thickBot="1">
      <c r="A232" s="2" t="s">
        <v>1046</v>
      </c>
      <c r="D232" s="468">
        <v>19000</v>
      </c>
      <c r="E232" s="468">
        <v>16000</v>
      </c>
      <c r="G232" s="452"/>
      <c r="H232" s="452"/>
      <c r="I232" s="452"/>
      <c r="J232" s="479" t="s">
        <v>1082</v>
      </c>
      <c r="K232" s="482"/>
    </row>
    <row r="233" spans="1:11" s="2" customFormat="1" ht="16">
      <c r="A233" s="2" t="s">
        <v>570</v>
      </c>
      <c r="D233" s="468" t="s">
        <v>726</v>
      </c>
      <c r="E233" s="468">
        <v>3000</v>
      </c>
      <c r="G233" s="479" t="s">
        <v>902</v>
      </c>
      <c r="H233" s="482"/>
      <c r="I233" s="452"/>
      <c r="J233" s="480" t="s">
        <v>572</v>
      </c>
      <c r="K233" s="481" t="s">
        <v>88</v>
      </c>
    </row>
    <row r="234" spans="1:11" s="2" customFormat="1" ht="16">
      <c r="A234" s="2" t="s">
        <v>1047</v>
      </c>
      <c r="D234" s="468">
        <v>2000</v>
      </c>
      <c r="E234" s="468">
        <v>1000</v>
      </c>
      <c r="G234" s="480" t="s">
        <v>569</v>
      </c>
      <c r="H234" s="481" t="s">
        <v>88</v>
      </c>
      <c r="I234" s="452"/>
      <c r="J234" s="480" t="s">
        <v>902</v>
      </c>
      <c r="K234" s="481" t="s">
        <v>88</v>
      </c>
    </row>
    <row r="235" spans="1:11" s="2" customFormat="1" ht="17" thickBot="1">
      <c r="A235" s="2" t="s">
        <v>902</v>
      </c>
      <c r="D235" s="468">
        <v>14000</v>
      </c>
      <c r="E235" s="468" t="s">
        <v>726</v>
      </c>
      <c r="G235" s="480" t="s">
        <v>570</v>
      </c>
      <c r="H235" s="481" t="s">
        <v>89</v>
      </c>
      <c r="I235" s="452"/>
      <c r="J235" s="483" t="s">
        <v>573</v>
      </c>
      <c r="K235" s="484" t="s">
        <v>89</v>
      </c>
    </row>
    <row r="236" spans="1:11" s="2" customFormat="1" ht="17" thickBot="1">
      <c r="A236" s="2" t="s">
        <v>1048</v>
      </c>
      <c r="D236" s="468" t="s">
        <v>726</v>
      </c>
      <c r="E236" s="468" t="s">
        <v>726</v>
      </c>
      <c r="G236" s="483" t="s">
        <v>1083</v>
      </c>
      <c r="H236" s="484" t="s">
        <v>89</v>
      </c>
      <c r="I236" s="452"/>
      <c r="J236" s="483" t="s">
        <v>659</v>
      </c>
      <c r="K236" s="484" t="s">
        <v>91</v>
      </c>
    </row>
    <row r="237" spans="1:11" s="2" customFormat="1" ht="17" thickBot="1">
      <c r="A237" s="2" t="s">
        <v>1049</v>
      </c>
      <c r="D237" s="468">
        <v>12000</v>
      </c>
      <c r="E237" s="468">
        <v>3000</v>
      </c>
      <c r="G237" s="483" t="s">
        <v>902</v>
      </c>
      <c r="H237" s="484" t="s">
        <v>91</v>
      </c>
      <c r="I237" s="6"/>
      <c r="J237" s="6"/>
      <c r="K237" s="6"/>
    </row>
    <row r="238" spans="1:11" s="2" customFormat="1" ht="16">
      <c r="A238" s="2" t="s">
        <v>858</v>
      </c>
      <c r="D238" s="468" t="s">
        <v>726</v>
      </c>
      <c r="E238" s="468" t="s">
        <v>726</v>
      </c>
    </row>
    <row r="239" spans="1:11" s="2" customFormat="1" ht="16">
      <c r="A239" s="2" t="s">
        <v>559</v>
      </c>
      <c r="D239" s="468">
        <v>60000</v>
      </c>
      <c r="E239" s="468"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69" t="s">
        <v>1052</v>
      </c>
    </row>
    <row r="245" spans="1:9" s="2" customFormat="1" ht="16"/>
    <row r="246" spans="1:9" s="2" customFormat="1" ht="16">
      <c r="A246" s="470" t="s">
        <v>1053</v>
      </c>
      <c r="B246" s="471"/>
      <c r="C246" s="471"/>
      <c r="D246" s="471"/>
      <c r="E246" s="471"/>
      <c r="F246" s="471"/>
      <c r="G246" s="471"/>
      <c r="H246" s="471"/>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2">
        <f>D255-D254-D253</f>
        <v>85000</v>
      </c>
      <c r="E252" s="167">
        <f>E228</f>
        <v>90000</v>
      </c>
      <c r="H252" s="460" t="s">
        <v>1080</v>
      </c>
      <c r="I252" s="453"/>
    </row>
    <row r="253" spans="1:9" s="2" customFormat="1" ht="16">
      <c r="A253" s="34" t="s">
        <v>89</v>
      </c>
      <c r="B253" s="2" t="s">
        <v>1057</v>
      </c>
      <c r="D253" s="167">
        <f>-D229</f>
        <v>-3000</v>
      </c>
      <c r="E253" s="167">
        <f>-E229</f>
        <v>-14000</v>
      </c>
      <c r="H253" s="454" t="s">
        <v>1081</v>
      </c>
      <c r="I253" s="477" t="s">
        <v>88</v>
      </c>
    </row>
    <row r="254" spans="1:9" s="2" customFormat="1" ht="16">
      <c r="A254" s="34" t="s">
        <v>89</v>
      </c>
      <c r="B254" s="2" t="s">
        <v>1058</v>
      </c>
      <c r="D254" s="167">
        <f>-D230</f>
        <v>-2000</v>
      </c>
      <c r="E254" s="167">
        <f>-E230</f>
        <v>-1000</v>
      </c>
      <c r="H254" s="454" t="s">
        <v>628</v>
      </c>
      <c r="I254" s="477" t="s">
        <v>89</v>
      </c>
    </row>
    <row r="255" spans="1:9" s="2" customFormat="1" ht="16">
      <c r="A255" s="34" t="s">
        <v>91</v>
      </c>
      <c r="B255" s="473" t="s">
        <v>1059</v>
      </c>
      <c r="D255" s="474">
        <f>D231</f>
        <v>80000</v>
      </c>
      <c r="E255" s="475">
        <f>SUM(E252:E254)</f>
        <v>75000</v>
      </c>
      <c r="H255" s="454" t="s">
        <v>568</v>
      </c>
      <c r="I255" s="477" t="s">
        <v>89</v>
      </c>
    </row>
    <row r="256" spans="1:9" s="2" customFormat="1" ht="17" thickBot="1">
      <c r="D256" s="476"/>
      <c r="E256" s="476"/>
      <c r="H256" s="457" t="s">
        <v>1080</v>
      </c>
      <c r="I256" s="478" t="s">
        <v>91</v>
      </c>
    </row>
    <row r="257" spans="1:11" s="2" customFormat="1" ht="16">
      <c r="A257" s="4" t="s">
        <v>1060</v>
      </c>
      <c r="D257" s="476"/>
      <c r="E257" s="476"/>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2">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4">
        <f>D235</f>
        <v>14000</v>
      </c>
      <c r="E262" s="475">
        <f>SUM(E258:E261)</f>
        <v>12000</v>
      </c>
    </row>
    <row r="263" spans="1:11" s="2" customFormat="1" ht="16">
      <c r="D263" s="476"/>
      <c r="E263" s="476"/>
    </row>
    <row r="264" spans="1:11" s="2" customFormat="1" ht="16">
      <c r="A264" s="4" t="s">
        <v>1066</v>
      </c>
      <c r="D264" s="476"/>
      <c r="E264" s="476"/>
    </row>
    <row r="265" spans="1:11" s="2" customFormat="1" ht="16">
      <c r="A265" s="34" t="s">
        <v>88</v>
      </c>
      <c r="B265" s="2" t="s">
        <v>1067</v>
      </c>
      <c r="D265" s="472">
        <f>D268-D267-D266</f>
        <v>18000</v>
      </c>
      <c r="E265" s="472">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2">
        <f>-D272</f>
        <v>20000</v>
      </c>
      <c r="E268" s="472">
        <f>SUM(E265:E267)</f>
        <v>21000</v>
      </c>
    </row>
    <row r="269" spans="1:11" s="2" customFormat="1" ht="16">
      <c r="D269" s="476"/>
      <c r="E269" s="476"/>
    </row>
    <row r="270" spans="1:11" s="2" customFormat="1" ht="16">
      <c r="A270" s="4" t="s">
        <v>1071</v>
      </c>
      <c r="D270" s="476"/>
      <c r="E270" s="476"/>
    </row>
    <row r="271" spans="1:11" s="2" customFormat="1" ht="16">
      <c r="A271" s="34" t="s">
        <v>88</v>
      </c>
      <c r="B271" s="473" t="s">
        <v>1072</v>
      </c>
      <c r="D271" s="167">
        <f>D255</f>
        <v>80000</v>
      </c>
      <c r="E271" s="472">
        <f>E255</f>
        <v>75000</v>
      </c>
    </row>
    <row r="272" spans="1:11" s="2" customFormat="1" ht="16">
      <c r="A272" s="34" t="s">
        <v>89</v>
      </c>
      <c r="B272" s="2" t="s">
        <v>1073</v>
      </c>
      <c r="D272" s="472">
        <f>D273-D271</f>
        <v>-20000</v>
      </c>
      <c r="E272" s="167">
        <f>-E268</f>
        <v>-21000</v>
      </c>
    </row>
    <row r="273" spans="1:8" s="2" customFormat="1" ht="16">
      <c r="A273" s="34" t="s">
        <v>91</v>
      </c>
      <c r="B273" s="473" t="s">
        <v>1074</v>
      </c>
      <c r="D273" s="167">
        <f>D239</f>
        <v>60000</v>
      </c>
      <c r="E273" s="472">
        <f>E271+E272</f>
        <v>54000</v>
      </c>
    </row>
    <row r="274" spans="1:8" s="2" customFormat="1" ht="16"/>
    <row r="275" spans="1:8" s="2" customFormat="1" ht="16">
      <c r="A275" s="485" t="s">
        <v>1093</v>
      </c>
      <c r="B275" s="485"/>
      <c r="C275" s="485"/>
      <c r="D275" s="485"/>
      <c r="E275" s="485"/>
      <c r="F275" s="485"/>
      <c r="G275" s="485"/>
      <c r="H275" s="485"/>
    </row>
    <row r="276" spans="1:8" s="2" customFormat="1" ht="16">
      <c r="A276" s="2" t="s">
        <v>1094</v>
      </c>
    </row>
    <row r="277" spans="1:8" s="2" customFormat="1" ht="16">
      <c r="A277" s="2" t="s">
        <v>1095</v>
      </c>
    </row>
    <row r="278" spans="1:8" s="2" customFormat="1" ht="16"/>
    <row r="279" spans="1:8" s="2" customFormat="1" ht="16">
      <c r="A279" s="4" t="s">
        <v>2011</v>
      </c>
    </row>
    <row r="280" spans="1:8" s="2" customFormat="1" ht="16">
      <c r="A280" s="4" t="s">
        <v>1096</v>
      </c>
    </row>
    <row r="281" spans="1:8" s="2" customFormat="1" ht="16">
      <c r="A281" s="4" t="s">
        <v>1097</v>
      </c>
    </row>
    <row r="282" spans="1:8" s="2" customFormat="1" ht="16"/>
    <row r="283" spans="1:8" s="2" customFormat="1" ht="16">
      <c r="A283" s="467" t="s">
        <v>1098</v>
      </c>
      <c r="B283" s="467"/>
      <c r="C283" s="467"/>
      <c r="D283" s="467"/>
      <c r="E283" s="467"/>
      <c r="F283" s="467"/>
      <c r="G283" s="467"/>
      <c r="H283" s="467"/>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6">
        <f>MIN(D306:D307)</f>
        <v>190000</v>
      </c>
      <c r="E309" s="486">
        <f>MIN(E306:E307)</f>
        <v>215000</v>
      </c>
      <c r="F309" s="2" t="s">
        <v>1113</v>
      </c>
    </row>
    <row r="310" spans="1:12" s="2" customFormat="1" ht="16"/>
    <row r="311" spans="1:12" s="2" customFormat="1" ht="16">
      <c r="A311" s="491" t="s">
        <v>559</v>
      </c>
      <c r="B311" s="492">
        <v>2020</v>
      </c>
      <c r="C311" s="492">
        <v>2021</v>
      </c>
      <c r="D311" s="492" t="s">
        <v>1080</v>
      </c>
      <c r="E311" s="492">
        <v>2020</v>
      </c>
      <c r="F311" s="492">
        <v>2021</v>
      </c>
      <c r="G311" s="492" t="s">
        <v>659</v>
      </c>
      <c r="H311" s="492">
        <v>2020</v>
      </c>
      <c r="I311" s="492">
        <v>2021</v>
      </c>
      <c r="J311" s="492" t="s">
        <v>902</v>
      </c>
      <c r="K311" s="492">
        <v>2020</v>
      </c>
      <c r="L311" s="492">
        <v>2021</v>
      </c>
    </row>
    <row r="312" spans="1:12" s="2" customFormat="1" ht="16">
      <c r="A312" s="488" t="s">
        <v>909</v>
      </c>
      <c r="B312" s="489">
        <f>E315</f>
        <v>1290000</v>
      </c>
      <c r="C312" s="489">
        <f>F315</f>
        <v>1385000</v>
      </c>
      <c r="D312" s="489" t="s">
        <v>1081</v>
      </c>
      <c r="E312" s="489">
        <f>D287</f>
        <v>1500000</v>
      </c>
      <c r="F312" s="489">
        <f>E287</f>
        <v>1700000</v>
      </c>
      <c r="G312" s="489" t="s">
        <v>572</v>
      </c>
      <c r="H312" s="489">
        <f>D290</f>
        <v>150000</v>
      </c>
      <c r="I312" s="489">
        <f>-H314</f>
        <v>190000</v>
      </c>
      <c r="J312" s="489" t="s">
        <v>569</v>
      </c>
      <c r="K312" s="489">
        <f>D292</f>
        <v>300000</v>
      </c>
      <c r="L312" s="489">
        <f>E292</f>
        <v>400000</v>
      </c>
    </row>
    <row r="313" spans="1:12" s="2" customFormat="1" ht="16">
      <c r="A313" s="488" t="s">
        <v>1114</v>
      </c>
      <c r="B313" s="489">
        <f>-H315</f>
        <v>-234000</v>
      </c>
      <c r="C313" s="489">
        <f>-I315</f>
        <v>-338000</v>
      </c>
      <c r="D313" s="489" t="s">
        <v>628</v>
      </c>
      <c r="E313" s="489">
        <f>-D288</f>
        <v>-200000</v>
      </c>
      <c r="F313" s="489">
        <f>-E288</f>
        <v>-300000</v>
      </c>
      <c r="G313" s="489" t="s">
        <v>902</v>
      </c>
      <c r="H313" s="489">
        <f>K315</f>
        <v>274000</v>
      </c>
      <c r="I313" s="489">
        <f>L315</f>
        <v>363000</v>
      </c>
      <c r="J313" s="489" t="s">
        <v>570</v>
      </c>
      <c r="K313" s="489">
        <f>-D294</f>
        <v>-14000</v>
      </c>
      <c r="L313" s="489">
        <f>-E294</f>
        <v>-19000</v>
      </c>
    </row>
    <row r="314" spans="1:12" s="2" customFormat="1" ht="16">
      <c r="A314" s="488" t="s">
        <v>559</v>
      </c>
      <c r="B314" s="490">
        <f>B312+B313</f>
        <v>1056000</v>
      </c>
      <c r="C314" s="490">
        <f>C312+C313</f>
        <v>1047000</v>
      </c>
      <c r="D314" s="489" t="s">
        <v>568</v>
      </c>
      <c r="E314" s="489">
        <f>-D289</f>
        <v>-10000</v>
      </c>
      <c r="F314" s="489">
        <f>-E289</f>
        <v>-15000</v>
      </c>
      <c r="G314" s="489" t="s">
        <v>573</v>
      </c>
      <c r="H314" s="489">
        <f>-D309</f>
        <v>-190000</v>
      </c>
      <c r="I314" s="489">
        <f>-E309</f>
        <v>-215000</v>
      </c>
      <c r="J314" s="489" t="s">
        <v>1083</v>
      </c>
      <c r="K314" s="489">
        <f>-D293</f>
        <v>-12000</v>
      </c>
      <c r="L314" s="489">
        <f>-E293</f>
        <v>-18000</v>
      </c>
    </row>
    <row r="315" spans="1:12" s="2" customFormat="1" ht="16">
      <c r="A315" s="488"/>
      <c r="B315" s="489"/>
      <c r="C315" s="489"/>
      <c r="D315" s="489" t="s">
        <v>1080</v>
      </c>
      <c r="E315" s="490">
        <f>SUM(E312:E314)</f>
        <v>1290000</v>
      </c>
      <c r="F315" s="490">
        <f>SUM(F312:F314)</f>
        <v>1385000</v>
      </c>
      <c r="G315" s="489" t="s">
        <v>659</v>
      </c>
      <c r="H315" s="490">
        <f>SUM(H312:H314)</f>
        <v>234000</v>
      </c>
      <c r="I315" s="490">
        <f>SUM(I312:I314)</f>
        <v>338000</v>
      </c>
      <c r="J315" s="489" t="s">
        <v>902</v>
      </c>
      <c r="K315" s="490">
        <f>SUM(K312:K314)</f>
        <v>274000</v>
      </c>
      <c r="L315" s="490">
        <f>SUM(L312:L314)</f>
        <v>363000</v>
      </c>
    </row>
    <row r="316" spans="1:12" s="2" customFormat="1" ht="16">
      <c r="A316" s="452"/>
      <c r="B316" s="452"/>
      <c r="C316" s="452"/>
      <c r="D316" s="452"/>
      <c r="E316" s="452"/>
    </row>
    <row r="317" spans="1:12" s="2" customFormat="1" ht="16">
      <c r="A317" s="488" t="s">
        <v>1115</v>
      </c>
      <c r="B317" s="452"/>
      <c r="C317" s="452"/>
      <c r="E317" s="452"/>
    </row>
    <row r="318" spans="1:12" s="2" customFormat="1" ht="16">
      <c r="A318" s="2" t="s">
        <v>1116</v>
      </c>
      <c r="B318" s="452"/>
      <c r="C318" s="452"/>
      <c r="E318" s="487"/>
    </row>
    <row r="319" spans="1:12" s="2" customFormat="1" ht="16">
      <c r="A319" s="2" t="s">
        <v>1117</v>
      </c>
      <c r="B319" s="487"/>
      <c r="C319" s="452"/>
      <c r="E319" s="487"/>
    </row>
    <row r="320" spans="1:12" s="2" customFormat="1" ht="16">
      <c r="A320" s="2" t="s">
        <v>1118</v>
      </c>
      <c r="B320" s="487"/>
      <c r="C320" s="452"/>
      <c r="E320" s="487"/>
    </row>
    <row r="321" spans="1:8" s="2" customFormat="1" ht="16">
      <c r="A321" s="2" t="s">
        <v>1119</v>
      </c>
      <c r="B321" s="487"/>
      <c r="C321" s="452"/>
      <c r="E321" s="487"/>
    </row>
    <row r="322" spans="1:8" s="2" customFormat="1" ht="16">
      <c r="A322" s="2" t="s">
        <v>1120</v>
      </c>
      <c r="B322" s="487"/>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5" t="s">
        <v>1134</v>
      </c>
      <c r="B329" s="485"/>
      <c r="C329" s="485"/>
      <c r="D329" s="485"/>
      <c r="E329" s="485"/>
      <c r="F329" s="485"/>
      <c r="G329" s="485"/>
      <c r="H329" s="485"/>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3">
        <v>43101</v>
      </c>
      <c r="B338" s="2" t="s">
        <v>572</v>
      </c>
      <c r="C338" s="58">
        <v>1000</v>
      </c>
      <c r="D338" s="2">
        <v>80</v>
      </c>
      <c r="E338" s="2"/>
      <c r="F338" s="2"/>
    </row>
    <row r="339" spans="1:6" ht="16">
      <c r="A339" s="493">
        <v>43146</v>
      </c>
      <c r="B339" s="2" t="s">
        <v>1132</v>
      </c>
      <c r="C339" s="58">
        <v>2000</v>
      </c>
      <c r="D339" s="2">
        <v>90</v>
      </c>
      <c r="E339" s="2"/>
      <c r="F339" s="2"/>
    </row>
    <row r="340" spans="1:6" ht="16">
      <c r="A340" s="493">
        <v>43176</v>
      </c>
      <c r="B340" s="2" t="s">
        <v>1133</v>
      </c>
      <c r="C340" s="2"/>
      <c r="D340" s="2"/>
      <c r="E340" s="2">
        <v>800</v>
      </c>
      <c r="F340" s="2">
        <v>120</v>
      </c>
    </row>
    <row r="341" spans="1:6" ht="16">
      <c r="A341" s="493">
        <v>43204</v>
      </c>
      <c r="B341" s="2" t="s">
        <v>1132</v>
      </c>
      <c r="C341" s="58">
        <v>2500</v>
      </c>
      <c r="D341" s="2">
        <v>100</v>
      </c>
      <c r="E341" s="2"/>
      <c r="F341" s="2"/>
    </row>
    <row r="342" spans="1:6" ht="16">
      <c r="A342" s="493">
        <v>43325</v>
      </c>
      <c r="B342" s="2" t="s">
        <v>1132</v>
      </c>
      <c r="C342" s="58">
        <v>3000</v>
      </c>
      <c r="D342" s="2">
        <v>95</v>
      </c>
      <c r="E342" s="2"/>
      <c r="F342" s="2"/>
    </row>
    <row r="343" spans="1:6" ht="16">
      <c r="A343" s="493">
        <v>43367</v>
      </c>
      <c r="B343" s="2" t="s">
        <v>1133</v>
      </c>
      <c r="C343" s="2"/>
      <c r="D343" s="2"/>
      <c r="E343" s="58">
        <v>3000</v>
      </c>
      <c r="F343" s="2">
        <v>140</v>
      </c>
    </row>
    <row r="344" spans="1:6" ht="16">
      <c r="A344" s="493">
        <v>43383</v>
      </c>
      <c r="B344" s="2" t="s">
        <v>1132</v>
      </c>
      <c r="C344" s="58">
        <v>4000</v>
      </c>
      <c r="D344" s="2">
        <v>75</v>
      </c>
      <c r="E344" s="2"/>
      <c r="F344" s="2"/>
    </row>
    <row r="345" spans="1:6" ht="16">
      <c r="A345" s="493">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4" t="s">
        <v>1141</v>
      </c>
      <c r="B358" s="464"/>
      <c r="C358" s="464"/>
      <c r="D358" s="464"/>
      <c r="E358" s="464"/>
      <c r="F358" s="464"/>
      <c r="G358" s="464"/>
      <c r="H358" s="464"/>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3">
        <v>43101</v>
      </c>
      <c r="B362" s="2" t="s">
        <v>572</v>
      </c>
      <c r="C362" s="49">
        <v>1000</v>
      </c>
      <c r="D362" s="34">
        <v>80</v>
      </c>
      <c r="E362" s="34"/>
      <c r="F362" s="34"/>
    </row>
    <row r="363" spans="1:8" ht="16">
      <c r="A363" s="493">
        <v>43146</v>
      </c>
      <c r="B363" s="2" t="s">
        <v>1132</v>
      </c>
      <c r="C363" s="49">
        <v>2000</v>
      </c>
      <c r="D363" s="34">
        <v>90</v>
      </c>
      <c r="E363" s="34"/>
      <c r="F363" s="34"/>
    </row>
    <row r="364" spans="1:8" ht="16">
      <c r="A364" s="493">
        <v>43176</v>
      </c>
      <c r="B364" s="2" t="s">
        <v>1133</v>
      </c>
      <c r="C364" s="34"/>
      <c r="D364" s="34"/>
      <c r="E364" s="34">
        <v>800</v>
      </c>
      <c r="F364" s="34">
        <v>120</v>
      </c>
    </row>
    <row r="365" spans="1:8" s="63" customFormat="1" ht="16">
      <c r="A365" s="493">
        <v>43204</v>
      </c>
      <c r="B365" s="2" t="s">
        <v>1132</v>
      </c>
      <c r="C365" s="49">
        <v>2500</v>
      </c>
      <c r="D365" s="34">
        <v>100</v>
      </c>
      <c r="E365" s="34"/>
      <c r="F365" s="34"/>
    </row>
    <row r="366" spans="1:8" s="63" customFormat="1" ht="16">
      <c r="A366" s="493">
        <v>43325</v>
      </c>
      <c r="B366" s="2" t="s">
        <v>1132</v>
      </c>
      <c r="C366" s="49">
        <v>3000</v>
      </c>
      <c r="D366" s="34">
        <v>95</v>
      </c>
      <c r="E366" s="34"/>
      <c r="F366" s="34"/>
    </row>
    <row r="367" spans="1:8" s="63" customFormat="1" ht="16">
      <c r="A367" s="493">
        <v>43367</v>
      </c>
      <c r="B367" s="2" t="s">
        <v>1133</v>
      </c>
      <c r="C367" s="34"/>
      <c r="D367" s="34"/>
      <c r="E367" s="49">
        <v>3000</v>
      </c>
      <c r="F367" s="34">
        <v>140</v>
      </c>
    </row>
    <row r="368" spans="1:8" s="63" customFormat="1" ht="16">
      <c r="A368" s="493">
        <v>43383</v>
      </c>
      <c r="B368" s="2" t="s">
        <v>1132</v>
      </c>
      <c r="C368" s="49">
        <v>4000</v>
      </c>
      <c r="D368" s="34">
        <v>75</v>
      </c>
      <c r="E368" s="34"/>
      <c r="F368" s="34"/>
    </row>
    <row r="369" spans="1:6" s="63" customFormat="1" ht="16">
      <c r="A369" s="493">
        <v>43465</v>
      </c>
      <c r="B369" s="2" t="s">
        <v>1133</v>
      </c>
      <c r="C369" s="34"/>
      <c r="D369" s="34"/>
      <c r="E369" s="49">
        <v>3000</v>
      </c>
      <c r="F369" s="34">
        <v>100</v>
      </c>
    </row>
    <row r="370" spans="1:6" s="63" customFormat="1" ht="16">
      <c r="B370" s="63" t="s">
        <v>436</v>
      </c>
      <c r="C370" s="496">
        <f>SUM(C362:C369)</f>
        <v>12500</v>
      </c>
      <c r="D370" s="63" t="s">
        <v>436</v>
      </c>
      <c r="E370" s="496">
        <f>SUM(E362:E369)</f>
        <v>6800</v>
      </c>
    </row>
    <row r="371" spans="1:6" s="63" customFormat="1" ht="16">
      <c r="C371" s="497" t="s">
        <v>1146</v>
      </c>
      <c r="E371" s="497" t="s">
        <v>1147</v>
      </c>
    </row>
    <row r="372" spans="1:6" s="63" customFormat="1" ht="16">
      <c r="C372" s="497" t="s">
        <v>1128</v>
      </c>
      <c r="E372" s="497" t="s">
        <v>1148</v>
      </c>
    </row>
    <row r="373" spans="1:6" s="63" customFormat="1" ht="16"/>
    <row r="374" spans="1:6" s="63" customFormat="1" ht="16">
      <c r="A374" s="63" t="s">
        <v>1149</v>
      </c>
    </row>
    <row r="375" spans="1:6" s="63" customFormat="1" ht="16">
      <c r="C375" s="495">
        <f>C370-E370</f>
        <v>5700</v>
      </c>
      <c r="E375" s="63" t="s">
        <v>1150</v>
      </c>
    </row>
    <row r="376" spans="1:6" s="63" customFormat="1" ht="16"/>
    <row r="377" spans="1:6" s="63" customFormat="1" ht="16">
      <c r="A377" s="63" t="s">
        <v>1151</v>
      </c>
    </row>
    <row r="378" spans="1:6" s="63" customFormat="1" ht="16">
      <c r="A378" s="494" t="s">
        <v>1157</v>
      </c>
      <c r="B378" s="494"/>
      <c r="C378" s="498">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4" t="s">
        <v>2012</v>
      </c>
      <c r="B385" s="464"/>
      <c r="C385" s="464"/>
      <c r="D385" s="464"/>
      <c r="E385" s="464"/>
      <c r="F385" s="464"/>
      <c r="G385" s="464"/>
      <c r="H385" s="464"/>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3">
        <v>43101</v>
      </c>
      <c r="B389" s="2" t="s">
        <v>572</v>
      </c>
      <c r="C389" s="49">
        <v>1000</v>
      </c>
      <c r="D389" s="34">
        <v>80</v>
      </c>
      <c r="E389" s="34"/>
      <c r="F389" s="34"/>
    </row>
    <row r="390" spans="1:8" ht="16">
      <c r="A390" s="493">
        <v>43146</v>
      </c>
      <c r="B390" s="2" t="s">
        <v>1132</v>
      </c>
      <c r="C390" s="49">
        <v>2000</v>
      </c>
      <c r="D390" s="34">
        <v>90</v>
      </c>
      <c r="E390" s="34"/>
      <c r="F390" s="34"/>
    </row>
    <row r="391" spans="1:8" ht="16">
      <c r="A391" s="493">
        <v>43176</v>
      </c>
      <c r="B391" s="2" t="s">
        <v>1133</v>
      </c>
      <c r="C391" s="34"/>
      <c r="D391" s="34"/>
      <c r="E391" s="34">
        <v>800</v>
      </c>
      <c r="F391" s="34">
        <v>120</v>
      </c>
    </row>
    <row r="392" spans="1:8" s="63" customFormat="1" ht="16">
      <c r="A392" s="493">
        <v>43204</v>
      </c>
      <c r="B392" s="2" t="s">
        <v>1132</v>
      </c>
      <c r="C392" s="49">
        <v>2500</v>
      </c>
      <c r="D392" s="34">
        <v>100</v>
      </c>
      <c r="E392" s="34"/>
      <c r="F392" s="34"/>
    </row>
    <row r="393" spans="1:8" s="63" customFormat="1" ht="16">
      <c r="A393" s="493">
        <v>43325</v>
      </c>
      <c r="B393" s="2" t="s">
        <v>1132</v>
      </c>
      <c r="C393" s="49">
        <v>3000</v>
      </c>
      <c r="D393" s="34">
        <v>95</v>
      </c>
      <c r="E393" s="34"/>
      <c r="F393" s="34"/>
    </row>
    <row r="394" spans="1:8" s="63" customFormat="1" ht="16">
      <c r="A394" s="493">
        <v>43367</v>
      </c>
      <c r="B394" s="2" t="s">
        <v>1133</v>
      </c>
      <c r="C394" s="34"/>
      <c r="D394" s="34"/>
      <c r="E394" s="49">
        <v>3000</v>
      </c>
      <c r="F394" s="34">
        <v>140</v>
      </c>
    </row>
    <row r="395" spans="1:8" s="63" customFormat="1" ht="16">
      <c r="A395" s="493">
        <v>43383</v>
      </c>
      <c r="B395" s="2" t="s">
        <v>1132</v>
      </c>
      <c r="C395" s="49">
        <v>4000</v>
      </c>
      <c r="D395" s="34">
        <v>75</v>
      </c>
      <c r="E395" s="34"/>
      <c r="F395" s="34"/>
    </row>
    <row r="396" spans="1:8" s="63" customFormat="1" ht="16">
      <c r="A396" s="493">
        <v>43465</v>
      </c>
      <c r="B396" s="2" t="s">
        <v>1133</v>
      </c>
      <c r="C396" s="34"/>
      <c r="D396" s="34"/>
      <c r="E396" s="49">
        <v>3000</v>
      </c>
      <c r="F396" s="34">
        <v>100</v>
      </c>
    </row>
    <row r="397" spans="1:8" s="63" customFormat="1" ht="16">
      <c r="B397" s="63" t="s">
        <v>436</v>
      </c>
      <c r="C397" s="496">
        <f>SUM(C389:C396)</f>
        <v>12500</v>
      </c>
      <c r="D397" s="63" t="s">
        <v>436</v>
      </c>
      <c r="E397" s="496">
        <f>SUM(E389:E396)</f>
        <v>6800</v>
      </c>
    </row>
    <row r="398" spans="1:8" s="63" customFormat="1" ht="16">
      <c r="C398" s="497" t="s">
        <v>1146</v>
      </c>
      <c r="E398" s="497" t="s">
        <v>1147</v>
      </c>
    </row>
    <row r="399" spans="1:8" s="63" customFormat="1" ht="16">
      <c r="C399" s="497" t="s">
        <v>1128</v>
      </c>
      <c r="E399" s="497" t="s">
        <v>1148</v>
      </c>
    </row>
    <row r="401" spans="1:8" s="63" customFormat="1" ht="16">
      <c r="A401" s="63" t="s">
        <v>1149</v>
      </c>
    </row>
    <row r="402" spans="1:8" s="63" customFormat="1" ht="16">
      <c r="C402" s="495">
        <f>C397-E397</f>
        <v>5700</v>
      </c>
      <c r="E402" s="63" t="s">
        <v>1150</v>
      </c>
    </row>
    <row r="404" spans="1:8" s="63" customFormat="1" ht="16">
      <c r="A404" s="63" t="s">
        <v>2013</v>
      </c>
    </row>
    <row r="405" spans="1:8" s="63" customFormat="1" ht="16">
      <c r="B405" s="63" t="s">
        <v>1160</v>
      </c>
      <c r="D405" s="499">
        <f>C389*D389</f>
        <v>80000</v>
      </c>
      <c r="F405" s="63" t="s">
        <v>1163</v>
      </c>
    </row>
    <row r="406" spans="1:8" s="63" customFormat="1" ht="16">
      <c r="B406" s="63" t="s">
        <v>1161</v>
      </c>
      <c r="D406" s="499">
        <f>SUMPRODUCT(C390:C396,D390:D396)</f>
        <v>1015000</v>
      </c>
      <c r="H406" s="63" t="s">
        <v>1164</v>
      </c>
    </row>
    <row r="407" spans="1:8" s="63" customFormat="1" ht="16">
      <c r="B407" s="63" t="s">
        <v>1162</v>
      </c>
      <c r="D407" s="500">
        <f>D405+D406</f>
        <v>1095000</v>
      </c>
    </row>
    <row r="408" spans="1:8" s="63" customFormat="1" ht="16"/>
    <row r="409" spans="1:8" s="63" customFormat="1" ht="16">
      <c r="B409" s="63" t="s">
        <v>1165</v>
      </c>
      <c r="D409" s="64">
        <f>C397</f>
        <v>12500</v>
      </c>
      <c r="H409" s="63" t="s">
        <v>2014</v>
      </c>
    </row>
    <row r="410" spans="1:8" s="63" customFormat="1" ht="16"/>
    <row r="411" spans="1:8" s="63" customFormat="1" ht="16">
      <c r="B411" s="63" t="s">
        <v>1168</v>
      </c>
      <c r="D411" s="501">
        <f>D407/D409</f>
        <v>87.6</v>
      </c>
      <c r="F411" s="63" t="s">
        <v>1166</v>
      </c>
    </row>
    <row r="412" spans="1:8" s="63" customFormat="1" ht="16"/>
    <row r="413" spans="1:8" ht="16">
      <c r="A413" s="63" t="s">
        <v>1167</v>
      </c>
    </row>
    <row r="415" spans="1:8" ht="16">
      <c r="A415" s="63" t="s">
        <v>1169</v>
      </c>
    </row>
    <row r="417" spans="1:8" ht="16">
      <c r="A417" s="63" t="s">
        <v>1170</v>
      </c>
      <c r="D417" s="502">
        <f>D411*C402</f>
        <v>499319.99999999994</v>
      </c>
      <c r="E417" s="499"/>
      <c r="F417" s="499" t="s">
        <v>1171</v>
      </c>
    </row>
    <row r="419" spans="1:8" ht="16">
      <c r="A419" s="494" t="s">
        <v>1143</v>
      </c>
      <c r="B419" s="464"/>
      <c r="C419" s="464"/>
      <c r="D419" s="464"/>
      <c r="E419" s="464"/>
      <c r="F419" s="464"/>
      <c r="G419" s="464"/>
      <c r="H419" s="464"/>
    </row>
    <row r="420" spans="1:8" ht="16">
      <c r="A420" s="63" t="s">
        <v>1172</v>
      </c>
    </row>
    <row r="421" spans="1:8" ht="16">
      <c r="A421" s="63" t="s">
        <v>1140</v>
      </c>
    </row>
    <row r="423" spans="1:8" ht="16">
      <c r="B423" s="63" t="s">
        <v>1173</v>
      </c>
      <c r="C423" s="63"/>
      <c r="D423" s="63"/>
    </row>
    <row r="424" spans="1:8" ht="16">
      <c r="B424" s="63" t="s">
        <v>1174</v>
      </c>
      <c r="C424" s="63"/>
      <c r="D424" s="499">
        <v>110</v>
      </c>
    </row>
    <row r="425" spans="1:8" ht="16">
      <c r="B425" s="63" t="s">
        <v>1175</v>
      </c>
      <c r="C425" s="63"/>
      <c r="D425" s="499">
        <v>-20</v>
      </c>
    </row>
    <row r="426" spans="1:8" ht="16">
      <c r="B426" s="63" t="s">
        <v>1176</v>
      </c>
      <c r="C426" s="63"/>
      <c r="D426" s="499">
        <v>-5</v>
      </c>
    </row>
    <row r="427" spans="1:8" ht="16">
      <c r="B427" s="63" t="s">
        <v>1177</v>
      </c>
      <c r="C427" s="63"/>
      <c r="D427" s="500">
        <f>SUM(D424:D426)</f>
        <v>85</v>
      </c>
    </row>
    <row r="429" spans="1:8" ht="16">
      <c r="B429" s="63" t="s">
        <v>1178</v>
      </c>
      <c r="D429" s="499">
        <v>5700</v>
      </c>
    </row>
    <row r="431" spans="1:8" ht="16">
      <c r="B431" s="63" t="s">
        <v>1179</v>
      </c>
      <c r="D431" s="502">
        <f>D427*D429</f>
        <v>484500</v>
      </c>
      <c r="F431" s="63" t="s">
        <v>1180</v>
      </c>
    </row>
    <row r="434" spans="1:8" ht="16">
      <c r="A434" s="63" t="s">
        <v>2015</v>
      </c>
    </row>
    <row r="435" spans="1:8" ht="16">
      <c r="A435" s="63" t="s">
        <v>2016</v>
      </c>
    </row>
    <row r="436" spans="1:8" ht="16">
      <c r="A436" s="63" t="s">
        <v>2017</v>
      </c>
    </row>
    <row r="438" spans="1:8" s="63" customFormat="1" ht="16">
      <c r="A438" s="494" t="s">
        <v>1144</v>
      </c>
      <c r="B438" s="503"/>
      <c r="C438" s="503"/>
      <c r="D438" s="503"/>
      <c r="E438" s="503"/>
      <c r="F438" s="503"/>
      <c r="G438" s="503"/>
      <c r="H438" s="503"/>
    </row>
    <row r="439" spans="1:8" s="63" customFormat="1" ht="16"/>
    <row r="440" spans="1:8" s="63" customFormat="1" ht="16">
      <c r="A440" s="63" t="s">
        <v>1186</v>
      </c>
    </row>
    <row r="441" spans="1:8" s="63" customFormat="1" ht="16">
      <c r="A441" s="63" t="s">
        <v>2018</v>
      </c>
    </row>
    <row r="442" spans="1:8" s="63" customFormat="1" ht="16">
      <c r="A442" s="63" t="s">
        <v>2019</v>
      </c>
      <c r="C442" s="5"/>
      <c r="D442" s="507"/>
      <c r="E442" s="507"/>
      <c r="F442" s="507" t="s">
        <v>1195</v>
      </c>
    </row>
    <row r="443" spans="1:8" s="63" customFormat="1" ht="16">
      <c r="C443" s="5"/>
      <c r="D443" s="507" t="s">
        <v>1193</v>
      </c>
      <c r="E443" s="507" t="s">
        <v>1194</v>
      </c>
      <c r="F443" s="507" t="s">
        <v>1196</v>
      </c>
    </row>
    <row r="444" spans="1:8" s="63" customFormat="1" ht="16">
      <c r="A444" s="63" t="s">
        <v>1187</v>
      </c>
      <c r="C444" s="504"/>
      <c r="D444" s="508" t="s">
        <v>1190</v>
      </c>
      <c r="E444" s="508" t="s">
        <v>1191</v>
      </c>
      <c r="F444" s="508" t="s">
        <v>1192</v>
      </c>
    </row>
    <row r="445" spans="1:8" s="63" customFormat="1" ht="16">
      <c r="C445" s="509" t="s">
        <v>1188</v>
      </c>
      <c r="D445" s="631">
        <f>'2ב'!C57</f>
        <v>461500</v>
      </c>
      <c r="E445" s="726">
        <f>'2ב'!D110</f>
        <v>484500</v>
      </c>
      <c r="F445" s="167">
        <f>MIN(E445,D445)</f>
        <v>461500</v>
      </c>
    </row>
    <row r="446" spans="1:8" s="63" customFormat="1" ht="16">
      <c r="C446" s="509" t="s">
        <v>1189</v>
      </c>
      <c r="D446" s="167">
        <f>'2ב'!D96</f>
        <v>499319.99999999994</v>
      </c>
      <c r="E446" s="727"/>
      <c r="F446" s="167">
        <f>MIN(E445,D446)</f>
        <v>484500</v>
      </c>
    </row>
    <row r="447" spans="1:8" s="63" customFormat="1" ht="16"/>
    <row r="448" spans="1:8" s="63" customFormat="1" ht="16">
      <c r="A448" s="494" t="s">
        <v>1145</v>
      </c>
      <c r="B448" s="503"/>
      <c r="C448" s="503"/>
      <c r="D448" s="503"/>
      <c r="E448" s="503"/>
      <c r="F448" s="503"/>
      <c r="G448" s="503"/>
      <c r="H448" s="503"/>
    </row>
    <row r="449" spans="1:8" s="63" customFormat="1" ht="16"/>
    <row r="450" spans="1:8" s="63" customFormat="1" ht="16">
      <c r="A450" s="63" t="s">
        <v>1197</v>
      </c>
    </row>
    <row r="451" spans="1:8" s="63" customFormat="1" ht="16">
      <c r="C451" s="506" t="s">
        <v>1188</v>
      </c>
      <c r="D451" s="506" t="s">
        <v>1189</v>
      </c>
      <c r="G451" s="506" t="s">
        <v>1188</v>
      </c>
      <c r="H451" s="506" t="s">
        <v>1189</v>
      </c>
    </row>
    <row r="452" spans="1:8" s="63" customFormat="1" ht="16">
      <c r="A452" s="63" t="s">
        <v>558</v>
      </c>
      <c r="C452" s="495">
        <f>'2ב'!E70*'2ב'!F70+'2ב'!E73*'2ב'!F73+'2ב'!E75*'2ב'!F75</f>
        <v>816000</v>
      </c>
      <c r="D452" s="495">
        <f>C452</f>
        <v>816000</v>
      </c>
      <c r="E452" s="63" t="s">
        <v>1198</v>
      </c>
    </row>
    <row r="453" spans="1:8" s="63" customFormat="1" ht="16">
      <c r="A453" s="63" t="s">
        <v>858</v>
      </c>
      <c r="C453" s="512">
        <f>-G462</f>
        <v>-633500</v>
      </c>
      <c r="D453" s="512">
        <f>-H462</f>
        <v>-610500</v>
      </c>
      <c r="E453" s="63" t="s">
        <v>566</v>
      </c>
      <c r="G453" s="505">
        <f>C452</f>
        <v>816000</v>
      </c>
      <c r="H453" s="505">
        <f>D452</f>
        <v>816000</v>
      </c>
    </row>
    <row r="454" spans="1:8" s="63" customFormat="1" ht="16">
      <c r="A454" s="63" t="s">
        <v>559</v>
      </c>
      <c r="C454" s="514">
        <f>C452+C453</f>
        <v>182500</v>
      </c>
      <c r="D454" s="514">
        <f>D452+D453</f>
        <v>205500</v>
      </c>
      <c r="E454" s="63" t="s">
        <v>1057</v>
      </c>
      <c r="G454" s="505">
        <v>0</v>
      </c>
      <c r="H454" s="505">
        <v>0</v>
      </c>
    </row>
    <row r="455" spans="1:8" s="63" customFormat="1" ht="16">
      <c r="E455" s="63" t="s">
        <v>1058</v>
      </c>
      <c r="G455" s="505">
        <v>0</v>
      </c>
      <c r="H455" s="505">
        <v>0</v>
      </c>
    </row>
    <row r="456" spans="1:8" s="63" customFormat="1" ht="16">
      <c r="E456" s="63" t="s">
        <v>909</v>
      </c>
      <c r="G456" s="511">
        <f>G453</f>
        <v>816000</v>
      </c>
      <c r="H456" s="511">
        <f>H453</f>
        <v>816000</v>
      </c>
    </row>
    <row r="457" spans="1:8" s="63" customFormat="1" ht="16">
      <c r="G457" s="505"/>
      <c r="H457" s="505"/>
    </row>
    <row r="458" spans="1:8" s="63" customFormat="1" ht="16">
      <c r="A458" s="63" t="s">
        <v>1201</v>
      </c>
      <c r="E458" s="63" t="s">
        <v>1199</v>
      </c>
      <c r="G458" s="505"/>
      <c r="H458" s="505"/>
    </row>
    <row r="459" spans="1:8" s="63" customFormat="1" ht="16">
      <c r="A459" s="63" t="s">
        <v>1202</v>
      </c>
      <c r="E459" s="63" t="s">
        <v>572</v>
      </c>
      <c r="G459" s="505">
        <f>'2ב'!C68*'2ב'!D68</f>
        <v>80000</v>
      </c>
      <c r="H459" s="505">
        <f>G459</f>
        <v>80000</v>
      </c>
    </row>
    <row r="460" spans="1:8" s="63" customFormat="1" ht="16">
      <c r="A460" s="63" t="s">
        <v>1203</v>
      </c>
      <c r="E460" s="63" t="s">
        <v>1200</v>
      </c>
      <c r="G460" s="505">
        <f>'2ב'!C42*'2ב'!D42+'2ב'!C44*'2ב'!D44+'2ב'!C45*'2ב'!D45+'2ב'!C47*'2ב'!D47</f>
        <v>1015000</v>
      </c>
      <c r="H460" s="505">
        <f>G460</f>
        <v>1015000</v>
      </c>
    </row>
    <row r="461" spans="1:8" s="63" customFormat="1" ht="16">
      <c r="E461" s="63" t="s">
        <v>1240</v>
      </c>
      <c r="G461" s="512">
        <f>-F445</f>
        <v>-461500</v>
      </c>
      <c r="H461" s="512">
        <f>-F446</f>
        <v>-484500</v>
      </c>
    </row>
    <row r="462" spans="1:8" s="63" customFormat="1" ht="16">
      <c r="A462" s="63" t="s">
        <v>1204</v>
      </c>
      <c r="E462" s="63" t="s">
        <v>858</v>
      </c>
      <c r="G462" s="513">
        <f>SUM(G459:G461)</f>
        <v>633500</v>
      </c>
      <c r="H462" s="513">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5" t="s">
        <v>1184</v>
      </c>
      <c r="B469" s="516"/>
      <c r="C469" s="516"/>
      <c r="D469" s="516"/>
      <c r="E469" s="516"/>
      <c r="F469" s="516"/>
      <c r="G469" s="516"/>
      <c r="H469" s="517"/>
    </row>
    <row r="470" spans="1:8" s="63" customFormat="1" ht="16">
      <c r="A470" s="518" t="s">
        <v>1208</v>
      </c>
      <c r="H470" s="519"/>
    </row>
    <row r="471" spans="1:8" s="63" customFormat="1" ht="16">
      <c r="A471" s="518" t="s">
        <v>1209</v>
      </c>
      <c r="H471" s="519"/>
    </row>
    <row r="472" spans="1:8" s="63" customFormat="1" ht="16">
      <c r="A472" s="518"/>
      <c r="H472" s="519"/>
    </row>
    <row r="473" spans="1:8" s="63" customFormat="1" ht="16">
      <c r="A473" s="518" t="s">
        <v>1210</v>
      </c>
      <c r="H473" s="519"/>
    </row>
    <row r="474" spans="1:8" s="63" customFormat="1" ht="16">
      <c r="A474" s="518"/>
      <c r="D474" s="63" t="s">
        <v>1211</v>
      </c>
      <c r="G474" s="504" t="s">
        <v>88</v>
      </c>
      <c r="H474" s="519"/>
    </row>
    <row r="475" spans="1:8" s="63" customFormat="1" ht="16">
      <c r="A475" s="518"/>
      <c r="D475" s="63" t="s">
        <v>1212</v>
      </c>
      <c r="G475" s="504" t="s">
        <v>89</v>
      </c>
      <c r="H475" s="519"/>
    </row>
    <row r="476" spans="1:8" s="63" customFormat="1" ht="16">
      <c r="A476" s="518"/>
      <c r="D476" s="63" t="s">
        <v>1213</v>
      </c>
      <c r="G476" s="504" t="s">
        <v>91</v>
      </c>
      <c r="H476" s="519"/>
    </row>
    <row r="477" spans="1:8" s="63" customFormat="1" ht="16">
      <c r="A477" s="518"/>
      <c r="H477" s="519"/>
    </row>
    <row r="478" spans="1:8" s="63" customFormat="1" ht="16">
      <c r="A478" s="518" t="s">
        <v>1214</v>
      </c>
      <c r="H478" s="519"/>
    </row>
    <row r="479" spans="1:8" s="63" customFormat="1" ht="16">
      <c r="A479" s="63" t="s">
        <v>1215</v>
      </c>
      <c r="H479" s="519"/>
    </row>
    <row r="480" spans="1:8" s="63" customFormat="1" ht="16">
      <c r="A480" s="63" t="s">
        <v>1216</v>
      </c>
      <c r="H480" s="519"/>
    </row>
    <row r="481" spans="1:8" s="63" customFormat="1" ht="16">
      <c r="B481" s="63" t="s">
        <v>1217</v>
      </c>
      <c r="H481" s="519"/>
    </row>
    <row r="482" spans="1:8" s="63" customFormat="1" ht="16">
      <c r="A482" s="518"/>
      <c r="H482" s="519"/>
    </row>
    <row r="483" spans="1:8" s="63" customFormat="1" ht="16">
      <c r="A483" s="518" t="s">
        <v>1218</v>
      </c>
      <c r="H483" s="519"/>
    </row>
    <row r="484" spans="1:8" s="63" customFormat="1" ht="16">
      <c r="A484" s="518"/>
      <c r="B484" s="63" t="s">
        <v>1219</v>
      </c>
      <c r="D484" s="504" t="s">
        <v>88</v>
      </c>
      <c r="H484" s="519"/>
    </row>
    <row r="485" spans="1:8" s="63" customFormat="1" ht="16">
      <c r="A485" s="518"/>
      <c r="B485" s="63" t="s">
        <v>1175</v>
      </c>
      <c r="D485" s="504" t="s">
        <v>89</v>
      </c>
      <c r="H485" s="519"/>
    </row>
    <row r="486" spans="1:8" s="63" customFormat="1" ht="16">
      <c r="A486" s="518"/>
      <c r="B486" s="63" t="s">
        <v>1176</v>
      </c>
      <c r="D486" s="504" t="s">
        <v>89</v>
      </c>
      <c r="H486" s="519"/>
    </row>
    <row r="487" spans="1:8" s="63" customFormat="1" ht="16">
      <c r="A487" s="518"/>
      <c r="B487" s="63" t="s">
        <v>1220</v>
      </c>
      <c r="D487" s="504" t="s">
        <v>91</v>
      </c>
      <c r="H487" s="519"/>
    </row>
    <row r="488" spans="1:8" s="63" customFormat="1" ht="16">
      <c r="A488" s="518"/>
      <c r="H488" s="519"/>
    </row>
    <row r="489" spans="1:8" s="63" customFormat="1" ht="16">
      <c r="A489" s="518"/>
      <c r="B489" s="63" t="s">
        <v>1221</v>
      </c>
      <c r="H489" s="519"/>
    </row>
    <row r="490" spans="1:8" s="63" customFormat="1" ht="16">
      <c r="A490" s="518"/>
      <c r="H490" s="519"/>
    </row>
    <row r="491" spans="1:8" s="63" customFormat="1" ht="16">
      <c r="A491" s="518" t="s">
        <v>1222</v>
      </c>
      <c r="H491" s="519"/>
    </row>
    <row r="492" spans="1:8" s="63" customFormat="1" ht="16">
      <c r="A492" s="518"/>
      <c r="H492" s="519"/>
    </row>
    <row r="493" spans="1:8" s="63" customFormat="1" ht="16">
      <c r="A493" s="518" t="s">
        <v>1223</v>
      </c>
      <c r="H493" s="519"/>
    </row>
    <row r="494" spans="1:8" s="63" customFormat="1" ht="16">
      <c r="A494" s="518" t="s">
        <v>1224</v>
      </c>
      <c r="H494" s="519"/>
    </row>
    <row r="495" spans="1:8" s="63" customFormat="1" ht="17" thickBot="1">
      <c r="A495" s="520" t="s">
        <v>1225</v>
      </c>
      <c r="B495" s="523"/>
      <c r="C495" s="523"/>
      <c r="D495" s="523"/>
      <c r="E495" s="523"/>
      <c r="F495" s="523"/>
      <c r="G495" s="523"/>
      <c r="H495" s="524"/>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32" t="s">
        <v>2020</v>
      </c>
      <c r="B528" s="632"/>
      <c r="C528" s="632"/>
      <c r="D528" s="632"/>
      <c r="E528" s="632"/>
      <c r="F528" s="632"/>
      <c r="G528" s="632"/>
      <c r="H528" s="632"/>
    </row>
    <row r="529" spans="1:8" s="63" customFormat="1" ht="16"/>
    <row r="530" spans="1:8" s="63" customFormat="1" ht="16">
      <c r="A530" s="63" t="s">
        <v>2021</v>
      </c>
    </row>
    <row r="531" spans="1:8" s="63" customFormat="1" ht="16">
      <c r="A531" s="63" t="s">
        <v>2022</v>
      </c>
    </row>
    <row r="532" spans="1:8" s="63" customFormat="1" ht="16">
      <c r="A532" s="63" t="s">
        <v>2023</v>
      </c>
    </row>
    <row r="533" spans="1:8" s="63" customFormat="1" ht="16">
      <c r="A533" s="63" t="s">
        <v>2024</v>
      </c>
    </row>
    <row r="534" spans="1:8" s="63" customFormat="1" ht="16">
      <c r="A534" s="63" t="s">
        <v>2025</v>
      </c>
    </row>
    <row r="535" spans="1:8" s="63" customFormat="1" ht="16">
      <c r="A535" s="63" t="s">
        <v>2026</v>
      </c>
    </row>
    <row r="536" spans="1:8" s="63" customFormat="1" ht="16">
      <c r="A536" s="63" t="s">
        <v>2027</v>
      </c>
    </row>
    <row r="537" spans="1:8" s="63" customFormat="1" ht="16"/>
    <row r="538" spans="1:8" s="63" customFormat="1" ht="16">
      <c r="A538" s="494" t="s">
        <v>1335</v>
      </c>
      <c r="B538" s="494"/>
      <c r="C538" s="494"/>
      <c r="D538" s="494"/>
      <c r="E538" s="494"/>
      <c r="F538" s="494"/>
      <c r="G538" s="494"/>
      <c r="H538" s="494"/>
    </row>
    <row r="539" spans="1:8" s="63" customFormat="1" ht="16"/>
    <row r="540" spans="1:8" s="63" customFormat="1" ht="16">
      <c r="A540" s="63" t="s">
        <v>1321</v>
      </c>
    </row>
    <row r="541" spans="1:8" s="63" customFormat="1" ht="16"/>
    <row r="542" spans="1:8" s="63" customFormat="1" ht="16">
      <c r="A542" s="529" t="s">
        <v>1322</v>
      </c>
      <c r="B542" s="529" t="s">
        <v>935</v>
      </c>
      <c r="C542" s="529" t="s">
        <v>936</v>
      </c>
      <c r="D542" s="529" t="s">
        <v>2028</v>
      </c>
      <c r="E542" s="529" t="s">
        <v>1323</v>
      </c>
    </row>
    <row r="543" spans="1:8" s="63" customFormat="1" ht="16">
      <c r="A543" s="529" t="s">
        <v>226</v>
      </c>
      <c r="B543" s="528">
        <v>500000</v>
      </c>
      <c r="C543" s="528">
        <f>B543*75%/50*6</f>
        <v>45000</v>
      </c>
      <c r="D543" s="528">
        <f>B543-C543</f>
        <v>455000</v>
      </c>
      <c r="E543" s="529" t="s">
        <v>455</v>
      </c>
    </row>
    <row r="544" spans="1:8" s="63" customFormat="1" ht="16">
      <c r="A544" s="529" t="s">
        <v>1326</v>
      </c>
      <c r="B544" s="528">
        <v>800000</v>
      </c>
      <c r="C544" s="528" t="s">
        <v>726</v>
      </c>
      <c r="D544" s="528" t="s">
        <v>726</v>
      </c>
      <c r="E544" s="529" t="s">
        <v>460</v>
      </c>
    </row>
    <row r="545" spans="1:5" s="63" customFormat="1" ht="16">
      <c r="A545" s="529" t="s">
        <v>1325</v>
      </c>
      <c r="B545" s="528">
        <v>400000</v>
      </c>
      <c r="C545" s="528" t="s">
        <v>726</v>
      </c>
      <c r="D545" s="528" t="s">
        <v>726</v>
      </c>
      <c r="E545" s="529"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0"/>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1"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3">
        <v>2023</v>
      </c>
      <c r="B625" s="503">
        <v>2</v>
      </c>
      <c r="C625" s="503"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1"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4" t="s">
        <v>1409</v>
      </c>
    </row>
    <row r="652" spans="1:7" s="63" customFormat="1" ht="16">
      <c r="A652" s="63" t="s">
        <v>935</v>
      </c>
      <c r="B652" s="64">
        <v>400000</v>
      </c>
      <c r="G652" s="63" t="s">
        <v>2029</v>
      </c>
    </row>
    <row r="653" spans="1:7" s="63" customFormat="1" ht="16">
      <c r="A653" s="63" t="s">
        <v>936</v>
      </c>
      <c r="B653" s="64">
        <f>(400000-35000)/8*2.25</f>
        <v>102656.25</v>
      </c>
      <c r="G653" s="63" t="s">
        <v>2030</v>
      </c>
    </row>
    <row r="654" spans="1:7" s="63" customFormat="1" ht="16">
      <c r="A654" s="63" t="s">
        <v>1252</v>
      </c>
      <c r="B654" s="535">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729"/>
      <c r="C666" s="730"/>
      <c r="D666" s="188" t="s">
        <v>226</v>
      </c>
      <c r="E666" s="188" t="s">
        <v>546</v>
      </c>
      <c r="F666" s="188" t="s">
        <v>1325</v>
      </c>
      <c r="G666" s="188" t="s">
        <v>436</v>
      </c>
    </row>
    <row r="667" spans="1:7" s="63" customFormat="1" ht="16">
      <c r="B667" s="728" t="s">
        <v>1417</v>
      </c>
      <c r="C667" s="728"/>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2031</v>
      </c>
    </row>
    <row r="675" spans="1:6" s="63" customFormat="1" ht="16">
      <c r="F675" s="63" t="s">
        <v>2032</v>
      </c>
    </row>
    <row r="676" spans="1:6" s="63" customFormat="1" ht="16">
      <c r="A676" s="63" t="s">
        <v>1390</v>
      </c>
      <c r="F676" s="63" t="s">
        <v>2033</v>
      </c>
    </row>
    <row r="677" spans="1:6" s="63" customFormat="1" ht="16">
      <c r="A677" s="63" t="s">
        <v>1389</v>
      </c>
      <c r="F677" s="63" t="s">
        <v>2034</v>
      </c>
    </row>
    <row r="678" spans="1:6" s="63" customFormat="1" ht="16">
      <c r="F678" s="63" t="s">
        <v>2035</v>
      </c>
    </row>
    <row r="679" spans="1:6" s="63" customFormat="1" ht="16">
      <c r="F679" s="63" t="s">
        <v>2036</v>
      </c>
    </row>
    <row r="680" spans="1:6" s="63" customFormat="1" ht="16">
      <c r="F680" s="63" t="s">
        <v>2037</v>
      </c>
    </row>
    <row r="681" spans="1:6" s="63" customFormat="1" ht="16">
      <c r="A681" s="63">
        <v>2018</v>
      </c>
      <c r="B681" s="63">
        <v>7</v>
      </c>
      <c r="C681" s="63" t="s">
        <v>1318</v>
      </c>
      <c r="F681" s="63" t="s">
        <v>2038</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2039</v>
      </c>
    </row>
    <row r="692" spans="1:7" s="63" customFormat="1" ht="16">
      <c r="B692" s="63" t="s">
        <v>2041</v>
      </c>
      <c r="E692" s="63" t="s">
        <v>2040</v>
      </c>
    </row>
    <row r="693" spans="1:7" s="63" customFormat="1" ht="16">
      <c r="B693" s="63" t="s">
        <v>2042</v>
      </c>
    </row>
    <row r="694" spans="1:7" s="63" customFormat="1" ht="16">
      <c r="B694" s="63" t="s">
        <v>2043</v>
      </c>
    </row>
    <row r="695" spans="1:7" s="63" customFormat="1" ht="16">
      <c r="B695" s="63" t="s">
        <v>2044</v>
      </c>
    </row>
    <row r="696" spans="1:7" s="63" customFormat="1" ht="16">
      <c r="B696" s="63" t="s">
        <v>2045</v>
      </c>
    </row>
    <row r="697" spans="1:7" s="63" customFormat="1" ht="16">
      <c r="B697" s="63" t="s">
        <v>2046</v>
      </c>
      <c r="G697" s="63" t="s">
        <v>2047</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1967</v>
      </c>
    </row>
    <row r="708" spans="1:6" s="63" customFormat="1" ht="16">
      <c r="A708" s="63" t="s">
        <v>1252</v>
      </c>
      <c r="B708" s="64">
        <f>B704</f>
        <v>117321</v>
      </c>
    </row>
    <row r="709" spans="1:6" s="63" customFormat="1" ht="16">
      <c r="A709" s="63" t="s">
        <v>1398</v>
      </c>
      <c r="B709" s="532">
        <f>B707-B708</f>
        <v>322679</v>
      </c>
      <c r="D709" s="63" t="s">
        <v>1399</v>
      </c>
      <c r="E709" s="63" t="s">
        <v>2048</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3" t="s">
        <v>1127</v>
      </c>
      <c r="B716" s="533"/>
      <c r="C716" s="533" t="s">
        <v>226</v>
      </c>
      <c r="D716" s="533" t="s">
        <v>546</v>
      </c>
      <c r="E716" s="533" t="s">
        <v>1325</v>
      </c>
      <c r="F716" s="533"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0">
        <f>SUM(C717:C718)</f>
        <v>552500</v>
      </c>
      <c r="D719" s="500">
        <f>SUM(D717:D718)</f>
        <v>363929</v>
      </c>
      <c r="E719" s="500">
        <f>SUM(E717:E718)</f>
        <v>594437</v>
      </c>
      <c r="F719" s="500">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2049</v>
      </c>
    </row>
    <row r="729" spans="1:7" s="63" customFormat="1" ht="16">
      <c r="G729" s="63" t="s">
        <v>2050</v>
      </c>
    </row>
    <row r="730" spans="1:7" s="63" customFormat="1" ht="16">
      <c r="G730" s="63" t="s">
        <v>2051</v>
      </c>
    </row>
    <row r="731" spans="1:7" s="63" customFormat="1" ht="16"/>
    <row r="732" spans="1:7" s="63" customFormat="1" ht="16">
      <c r="A732" s="63" t="s">
        <v>1420</v>
      </c>
      <c r="G732" s="63" t="s">
        <v>2052</v>
      </c>
    </row>
    <row r="733" spans="1:7" s="63" customFormat="1" ht="16">
      <c r="G733" s="63" t="s">
        <v>2053</v>
      </c>
    </row>
    <row r="734" spans="1:7" s="63" customFormat="1" ht="16">
      <c r="G734" s="63" t="s">
        <v>2054</v>
      </c>
    </row>
    <row r="735" spans="1:7" s="63" customFormat="1" ht="16">
      <c r="G735" s="63" t="s">
        <v>2055</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2056</v>
      </c>
    </row>
    <row r="746" spans="1:4" s="63" customFormat="1" ht="16">
      <c r="A746" s="63" t="s">
        <v>1429</v>
      </c>
      <c r="C746" s="64">
        <f>F667</f>
        <v>90781</v>
      </c>
      <c r="D746" s="63" t="s">
        <v>2057</v>
      </c>
    </row>
    <row r="747" spans="1:4" s="63" customFormat="1" ht="16">
      <c r="A747" s="63" t="s">
        <v>1430</v>
      </c>
      <c r="C747" s="537">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724" t="s">
        <v>2058</v>
      </c>
      <c r="B1" s="724"/>
      <c r="C1" s="724"/>
      <c r="D1" s="724"/>
      <c r="E1" s="724"/>
      <c r="F1" s="724"/>
      <c r="G1" s="724"/>
      <c r="H1" s="724"/>
    </row>
    <row r="3" spans="1:8">
      <c r="A3" s="63" t="s">
        <v>1181</v>
      </c>
    </row>
    <row r="4" spans="1:8">
      <c r="A4" s="63" t="s">
        <v>1182</v>
      </c>
    </row>
    <row r="5" spans="1:8">
      <c r="A5" s="63" t="s">
        <v>1183</v>
      </c>
    </row>
    <row r="6" spans="1:8">
      <c r="A6" s="63" t="s">
        <v>1185</v>
      </c>
    </row>
    <row r="8" spans="1:8" s="2" customFormat="1">
      <c r="A8" s="485" t="s">
        <v>1134</v>
      </c>
      <c r="B8" s="485"/>
      <c r="C8" s="485"/>
      <c r="D8" s="485"/>
      <c r="E8" s="485"/>
      <c r="F8" s="485"/>
      <c r="G8" s="485"/>
      <c r="H8" s="485"/>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3">
        <v>43101</v>
      </c>
      <c r="B17" s="2" t="s">
        <v>572</v>
      </c>
      <c r="C17" s="58">
        <v>1000</v>
      </c>
      <c r="D17" s="2">
        <v>80</v>
      </c>
      <c r="E17" s="2"/>
      <c r="F17" s="2"/>
    </row>
    <row r="18" spans="1:6">
      <c r="A18" s="493">
        <v>43146</v>
      </c>
      <c r="B18" s="2" t="s">
        <v>1132</v>
      </c>
      <c r="C18" s="58">
        <v>2000</v>
      </c>
      <c r="D18" s="2">
        <v>90</v>
      </c>
      <c r="E18" s="2"/>
      <c r="F18" s="2"/>
    </row>
    <row r="19" spans="1:6">
      <c r="A19" s="493">
        <v>43176</v>
      </c>
      <c r="B19" s="2" t="s">
        <v>1133</v>
      </c>
      <c r="C19" s="2"/>
      <c r="D19" s="2"/>
      <c r="E19" s="2">
        <v>800</v>
      </c>
      <c r="F19" s="2">
        <v>120</v>
      </c>
    </row>
    <row r="20" spans="1:6">
      <c r="A20" s="493">
        <v>43204</v>
      </c>
      <c r="B20" s="2" t="s">
        <v>1132</v>
      </c>
      <c r="C20" s="58">
        <v>2500</v>
      </c>
      <c r="D20" s="2">
        <v>100</v>
      </c>
      <c r="E20" s="2"/>
      <c r="F20" s="2"/>
    </row>
    <row r="21" spans="1:6">
      <c r="A21" s="493">
        <v>43325</v>
      </c>
      <c r="B21" s="2" t="s">
        <v>1132</v>
      </c>
      <c r="C21" s="58">
        <v>3000</v>
      </c>
      <c r="D21" s="2">
        <v>95</v>
      </c>
      <c r="E21" s="2"/>
      <c r="F21" s="2"/>
    </row>
    <row r="22" spans="1:6">
      <c r="A22" s="493">
        <v>43367</v>
      </c>
      <c r="B22" s="2" t="s">
        <v>1133</v>
      </c>
      <c r="C22" s="2"/>
      <c r="D22" s="2"/>
      <c r="E22" s="58">
        <v>3000</v>
      </c>
      <c r="F22" s="2">
        <v>140</v>
      </c>
    </row>
    <row r="23" spans="1:6">
      <c r="A23" s="493">
        <v>43383</v>
      </c>
      <c r="B23" s="2" t="s">
        <v>1132</v>
      </c>
      <c r="C23" s="58">
        <v>4000</v>
      </c>
      <c r="D23" s="2">
        <v>75</v>
      </c>
      <c r="E23" s="2"/>
      <c r="F23" s="2"/>
    </row>
    <row r="24" spans="1:6">
      <c r="A24" s="493">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4" t="s">
        <v>1141</v>
      </c>
      <c r="B37" s="494"/>
      <c r="C37" s="494"/>
      <c r="D37" s="494"/>
      <c r="E37" s="494"/>
      <c r="F37" s="494"/>
      <c r="G37" s="494"/>
      <c r="H37" s="494"/>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3">
        <v>43101</v>
      </c>
      <c r="B41" s="2" t="s">
        <v>572</v>
      </c>
      <c r="C41" s="49">
        <v>1000</v>
      </c>
      <c r="D41" s="34">
        <v>80</v>
      </c>
      <c r="E41" s="34"/>
      <c r="F41" s="34"/>
    </row>
    <row r="42" spans="1:8">
      <c r="A42" s="493">
        <v>43146</v>
      </c>
      <c r="B42" s="2" t="s">
        <v>1132</v>
      </c>
      <c r="C42" s="49">
        <v>2000</v>
      </c>
      <c r="D42" s="34">
        <v>90</v>
      </c>
      <c r="E42" s="34"/>
      <c r="F42" s="34"/>
    </row>
    <row r="43" spans="1:8">
      <c r="A43" s="493">
        <v>43176</v>
      </c>
      <c r="B43" s="2" t="s">
        <v>1133</v>
      </c>
      <c r="C43" s="34"/>
      <c r="D43" s="34"/>
      <c r="E43" s="34">
        <v>800</v>
      </c>
      <c r="F43" s="34">
        <v>120</v>
      </c>
    </row>
    <row r="44" spans="1:8">
      <c r="A44" s="493">
        <v>43204</v>
      </c>
      <c r="B44" s="2" t="s">
        <v>1132</v>
      </c>
      <c r="C44" s="49">
        <v>2500</v>
      </c>
      <c r="D44" s="34">
        <v>100</v>
      </c>
      <c r="E44" s="34"/>
      <c r="F44" s="34"/>
    </row>
    <row r="45" spans="1:8">
      <c r="A45" s="493">
        <v>43325</v>
      </c>
      <c r="B45" s="2" t="s">
        <v>1132</v>
      </c>
      <c r="C45" s="49">
        <v>3000</v>
      </c>
      <c r="D45" s="34">
        <v>95</v>
      </c>
      <c r="E45" s="34"/>
      <c r="F45" s="34"/>
    </row>
    <row r="46" spans="1:8">
      <c r="A46" s="493">
        <v>43367</v>
      </c>
      <c r="B46" s="2" t="s">
        <v>1133</v>
      </c>
      <c r="C46" s="34"/>
      <c r="D46" s="34"/>
      <c r="E46" s="49">
        <v>3000</v>
      </c>
      <c r="F46" s="34">
        <v>140</v>
      </c>
    </row>
    <row r="47" spans="1:8">
      <c r="A47" s="493">
        <v>43383</v>
      </c>
      <c r="B47" s="2" t="s">
        <v>1132</v>
      </c>
      <c r="C47" s="49">
        <v>4000</v>
      </c>
      <c r="D47" s="34">
        <v>75</v>
      </c>
      <c r="E47" s="34"/>
      <c r="F47" s="34"/>
    </row>
    <row r="48" spans="1:8">
      <c r="A48" s="493">
        <v>43465</v>
      </c>
      <c r="B48" s="2" t="s">
        <v>1133</v>
      </c>
      <c r="C48" s="34"/>
      <c r="D48" s="34"/>
      <c r="E48" s="49">
        <v>3000</v>
      </c>
      <c r="F48" s="34">
        <v>100</v>
      </c>
    </row>
    <row r="49" spans="1:8">
      <c r="B49" s="63" t="s">
        <v>436</v>
      </c>
      <c r="C49" s="496">
        <f>SUM(C41:C48)</f>
        <v>12500</v>
      </c>
      <c r="D49" s="63" t="s">
        <v>436</v>
      </c>
      <c r="E49" s="496">
        <f>SUM(E41:E48)</f>
        <v>6800</v>
      </c>
    </row>
    <row r="50" spans="1:8">
      <c r="C50" s="497" t="s">
        <v>1146</v>
      </c>
      <c r="E50" s="497" t="s">
        <v>1147</v>
      </c>
    </row>
    <row r="51" spans="1:8">
      <c r="C51" s="497" t="s">
        <v>1128</v>
      </c>
      <c r="E51" s="497" t="s">
        <v>1148</v>
      </c>
    </row>
    <row r="53" spans="1:8">
      <c r="A53" s="63" t="s">
        <v>1149</v>
      </c>
    </row>
    <row r="54" spans="1:8">
      <c r="C54" s="495">
        <f>C49-E49</f>
        <v>5700</v>
      </c>
      <c r="E54" s="63" t="s">
        <v>1150</v>
      </c>
    </row>
    <row r="56" spans="1:8">
      <c r="A56" s="63" t="s">
        <v>1151</v>
      </c>
    </row>
    <row r="57" spans="1:8">
      <c r="A57" s="494" t="s">
        <v>1157</v>
      </c>
      <c r="B57" s="494"/>
      <c r="C57" s="498">
        <f>4000*75+1700*95</f>
        <v>461500</v>
      </c>
      <c r="E57" s="63" t="s">
        <v>1152</v>
      </c>
    </row>
    <row r="59" spans="1:8">
      <c r="A59" s="63" t="s">
        <v>1153</v>
      </c>
    </row>
    <row r="60" spans="1:8">
      <c r="A60" s="63" t="s">
        <v>1154</v>
      </c>
    </row>
    <row r="61" spans="1:8">
      <c r="A61" s="63" t="s">
        <v>1155</v>
      </c>
    </row>
    <row r="62" spans="1:8">
      <c r="A62" s="63" t="s">
        <v>1156</v>
      </c>
    </row>
    <row r="64" spans="1:8">
      <c r="A64" s="494" t="s">
        <v>1158</v>
      </c>
      <c r="B64" s="494"/>
      <c r="C64" s="494"/>
      <c r="D64" s="494"/>
      <c r="E64" s="494"/>
      <c r="F64" s="494"/>
      <c r="G64" s="494"/>
      <c r="H64" s="494"/>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3">
        <v>43101</v>
      </c>
      <c r="B68" s="2" t="s">
        <v>572</v>
      </c>
      <c r="C68" s="49">
        <v>1000</v>
      </c>
      <c r="D68" s="34">
        <v>80</v>
      </c>
      <c r="E68" s="34"/>
      <c r="F68" s="34"/>
    </row>
    <row r="69" spans="1:6">
      <c r="A69" s="493">
        <v>43146</v>
      </c>
      <c r="B69" s="2" t="s">
        <v>1132</v>
      </c>
      <c r="C69" s="49">
        <v>2000</v>
      </c>
      <c r="D69" s="34">
        <v>90</v>
      </c>
      <c r="E69" s="34"/>
      <c r="F69" s="34"/>
    </row>
    <row r="70" spans="1:6">
      <c r="A70" s="493">
        <v>43176</v>
      </c>
      <c r="B70" s="2" t="s">
        <v>1133</v>
      </c>
      <c r="C70" s="34"/>
      <c r="D70" s="34"/>
      <c r="E70" s="34">
        <v>800</v>
      </c>
      <c r="F70" s="34">
        <v>120</v>
      </c>
    </row>
    <row r="71" spans="1:6">
      <c r="A71" s="493">
        <v>43204</v>
      </c>
      <c r="B71" s="2" t="s">
        <v>1132</v>
      </c>
      <c r="C71" s="49">
        <v>2500</v>
      </c>
      <c r="D71" s="34">
        <v>100</v>
      </c>
      <c r="E71" s="34"/>
      <c r="F71" s="34"/>
    </row>
    <row r="72" spans="1:6">
      <c r="A72" s="493">
        <v>43325</v>
      </c>
      <c r="B72" s="2" t="s">
        <v>1132</v>
      </c>
      <c r="C72" s="49">
        <v>3000</v>
      </c>
      <c r="D72" s="34">
        <v>95</v>
      </c>
      <c r="E72" s="34"/>
      <c r="F72" s="34"/>
    </row>
    <row r="73" spans="1:6">
      <c r="A73" s="493">
        <v>43367</v>
      </c>
      <c r="B73" s="2" t="s">
        <v>1133</v>
      </c>
      <c r="C73" s="34"/>
      <c r="D73" s="34"/>
      <c r="E73" s="49">
        <v>3000</v>
      </c>
      <c r="F73" s="34">
        <v>140</v>
      </c>
    </row>
    <row r="74" spans="1:6">
      <c r="A74" s="493">
        <v>43383</v>
      </c>
      <c r="B74" s="2" t="s">
        <v>1132</v>
      </c>
      <c r="C74" s="49">
        <v>4000</v>
      </c>
      <c r="D74" s="34">
        <v>75</v>
      </c>
      <c r="E74" s="34"/>
      <c r="F74" s="34"/>
    </row>
    <row r="75" spans="1:6">
      <c r="A75" s="493">
        <v>43465</v>
      </c>
      <c r="B75" s="2" t="s">
        <v>1133</v>
      </c>
      <c r="C75" s="34"/>
      <c r="D75" s="34"/>
      <c r="E75" s="49">
        <v>3000</v>
      </c>
      <c r="F75" s="34">
        <v>100</v>
      </c>
    </row>
    <row r="76" spans="1:6">
      <c r="B76" s="63" t="s">
        <v>436</v>
      </c>
      <c r="C76" s="496">
        <f>SUM(C68:C75)</f>
        <v>12500</v>
      </c>
      <c r="D76" s="63" t="s">
        <v>436</v>
      </c>
      <c r="E76" s="496">
        <f>SUM(E68:E75)</f>
        <v>6800</v>
      </c>
    </row>
    <row r="77" spans="1:6">
      <c r="C77" s="497" t="s">
        <v>1146</v>
      </c>
      <c r="E77" s="497" t="s">
        <v>1147</v>
      </c>
    </row>
    <row r="78" spans="1:6">
      <c r="C78" s="497" t="s">
        <v>1128</v>
      </c>
      <c r="E78" s="497" t="s">
        <v>1148</v>
      </c>
    </row>
    <row r="80" spans="1:6">
      <c r="A80" s="63" t="s">
        <v>1149</v>
      </c>
    </row>
    <row r="81" spans="1:8">
      <c r="C81" s="495">
        <f>C76-E76</f>
        <v>5700</v>
      </c>
      <c r="E81" s="63" t="s">
        <v>1150</v>
      </c>
    </row>
    <row r="83" spans="1:8">
      <c r="A83" s="63" t="s">
        <v>1159</v>
      </c>
    </row>
    <row r="84" spans="1:8">
      <c r="B84" s="63" t="s">
        <v>1160</v>
      </c>
      <c r="D84" s="499">
        <f>C68*D68</f>
        <v>80000</v>
      </c>
      <c r="F84" s="63" t="s">
        <v>1163</v>
      </c>
    </row>
    <row r="85" spans="1:8">
      <c r="B85" s="63" t="s">
        <v>1161</v>
      </c>
      <c r="D85" s="499">
        <f>SUMPRODUCT(C69:C75,D69:D75)</f>
        <v>1015000</v>
      </c>
      <c r="H85" s="63" t="s">
        <v>1164</v>
      </c>
    </row>
    <row r="86" spans="1:8">
      <c r="B86" s="63" t="s">
        <v>1162</v>
      </c>
      <c r="D86" s="500">
        <f>D84+D85</f>
        <v>1095000</v>
      </c>
    </row>
    <row r="88" spans="1:8">
      <c r="B88" s="63" t="s">
        <v>1165</v>
      </c>
      <c r="D88" s="64">
        <f>C76</f>
        <v>12500</v>
      </c>
    </row>
    <row r="90" spans="1:8">
      <c r="B90" s="63" t="s">
        <v>1168</v>
      </c>
      <c r="D90" s="501">
        <f>D86/D88</f>
        <v>87.6</v>
      </c>
      <c r="F90" s="63" t="s">
        <v>1166</v>
      </c>
    </row>
    <row r="92" spans="1:8">
      <c r="A92" s="63" t="s">
        <v>1167</v>
      </c>
    </row>
    <row r="94" spans="1:8">
      <c r="A94" s="63" t="s">
        <v>1169</v>
      </c>
    </row>
    <row r="96" spans="1:8">
      <c r="A96" s="63" t="s">
        <v>1170</v>
      </c>
      <c r="D96" s="502">
        <f>D90*C81</f>
        <v>499319.99999999994</v>
      </c>
      <c r="E96" s="499"/>
      <c r="F96" s="499" t="s">
        <v>1171</v>
      </c>
    </row>
    <row r="98" spans="1:8">
      <c r="A98" s="494" t="s">
        <v>1143</v>
      </c>
      <c r="B98" s="494"/>
      <c r="C98" s="494"/>
      <c r="D98" s="494"/>
      <c r="E98" s="494"/>
      <c r="F98" s="494"/>
      <c r="G98" s="494"/>
      <c r="H98" s="494"/>
    </row>
    <row r="99" spans="1:8">
      <c r="A99" s="63" t="s">
        <v>1172</v>
      </c>
    </row>
    <row r="100" spans="1:8">
      <c r="A100" s="63" t="s">
        <v>1140</v>
      </c>
    </row>
    <row r="102" spans="1:8">
      <c r="B102" s="63" t="s">
        <v>1173</v>
      </c>
    </row>
    <row r="103" spans="1:8">
      <c r="B103" s="63" t="s">
        <v>1174</v>
      </c>
      <c r="D103" s="499">
        <v>110</v>
      </c>
    </row>
    <row r="104" spans="1:8">
      <c r="B104" s="63" t="s">
        <v>1175</v>
      </c>
      <c r="D104" s="499">
        <v>-20</v>
      </c>
    </row>
    <row r="105" spans="1:8">
      <c r="B105" s="63" t="s">
        <v>1176</v>
      </c>
      <c r="D105" s="499">
        <v>-5</v>
      </c>
    </row>
    <row r="106" spans="1:8">
      <c r="B106" s="63" t="s">
        <v>1177</v>
      </c>
      <c r="D106" s="500">
        <f>SUM(D103:D105)</f>
        <v>85</v>
      </c>
    </row>
    <row r="108" spans="1:8">
      <c r="B108" s="63" t="s">
        <v>1178</v>
      </c>
      <c r="D108" s="499">
        <v>5700</v>
      </c>
    </row>
    <row r="110" spans="1:8">
      <c r="B110" s="63" t="s">
        <v>1179</v>
      </c>
      <c r="D110" s="502">
        <f>D106*D108</f>
        <v>484500</v>
      </c>
      <c r="F110" s="63" t="s">
        <v>1180</v>
      </c>
    </row>
    <row r="203" spans="1:8">
      <c r="A203" s="724" t="s">
        <v>1227</v>
      </c>
      <c r="B203" s="724"/>
      <c r="C203" s="724"/>
      <c r="D203" s="724"/>
      <c r="E203" s="724"/>
      <c r="F203" s="724"/>
      <c r="G203" s="724"/>
      <c r="H203" s="724"/>
    </row>
    <row r="205" spans="1:8">
      <c r="A205" s="63" t="s">
        <v>1230</v>
      </c>
    </row>
    <row r="206" spans="1:8">
      <c r="A206" s="63" t="s">
        <v>1231</v>
      </c>
    </row>
    <row r="207" spans="1:8">
      <c r="A207" s="63" t="s">
        <v>1228</v>
      </c>
    </row>
    <row r="209" spans="1:8">
      <c r="A209" s="63" t="s">
        <v>1229</v>
      </c>
    </row>
    <row r="211" spans="1:8">
      <c r="A211" s="521" t="s">
        <v>1232</v>
      </c>
      <c r="B211" s="522"/>
      <c r="C211" s="522"/>
      <c r="D211" s="522"/>
      <c r="E211" s="522"/>
      <c r="F211" s="522"/>
      <c r="G211" s="522"/>
      <c r="H211" s="522"/>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1" t="s">
        <v>1279</v>
      </c>
      <c r="B221" s="522"/>
      <c r="C221" s="522"/>
      <c r="D221" s="522"/>
      <c r="E221" s="522"/>
      <c r="F221" s="522"/>
      <c r="G221" s="522"/>
      <c r="H221" s="522"/>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5">
        <v>44196</v>
      </c>
      <c r="C237" s="525">
        <v>44561</v>
      </c>
      <c r="D237" s="525">
        <v>44926</v>
      </c>
      <c r="E237" s="525">
        <v>45291</v>
      </c>
      <c r="F237" s="525">
        <v>45657</v>
      </c>
      <c r="G237" s="525">
        <v>45839</v>
      </c>
      <c r="H237" s="525">
        <v>46022</v>
      </c>
    </row>
    <row r="238" spans="1:8">
      <c r="A238" s="63" t="s">
        <v>935</v>
      </c>
      <c r="B238" s="499">
        <f>E256</f>
        <v>550000</v>
      </c>
      <c r="C238" s="499">
        <f>B238</f>
        <v>550000</v>
      </c>
      <c r="D238" s="499">
        <f>C238</f>
        <v>550000</v>
      </c>
      <c r="E238" s="499">
        <f>D238</f>
        <v>550000</v>
      </c>
      <c r="F238" s="499">
        <f>E238</f>
        <v>550000</v>
      </c>
      <c r="G238" s="499">
        <f>F238</f>
        <v>550000</v>
      </c>
      <c r="H238" s="499">
        <v>0</v>
      </c>
    </row>
    <row r="239" spans="1:8">
      <c r="A239" s="63" t="s">
        <v>936</v>
      </c>
      <c r="B239" s="499">
        <f>-B242</f>
        <v>-36000</v>
      </c>
      <c r="C239" s="499">
        <f>B239-C242</f>
        <v>-84000</v>
      </c>
      <c r="D239" s="499">
        <f>C239-D242</f>
        <v>-132000</v>
      </c>
      <c r="E239" s="499">
        <f>D239-E242</f>
        <v>-254666.66666666669</v>
      </c>
      <c r="F239" s="499">
        <f>E239-F242</f>
        <v>-377333.33333333337</v>
      </c>
      <c r="G239" s="499">
        <f>F239-G242</f>
        <v>-438666.66666666669</v>
      </c>
      <c r="H239" s="499">
        <v>0</v>
      </c>
    </row>
    <row r="240" spans="1:8">
      <c r="A240" s="63" t="s">
        <v>1252</v>
      </c>
      <c r="B240" s="500">
        <f t="shared" ref="B240:G240" si="0">B238+B239</f>
        <v>514000</v>
      </c>
      <c r="C240" s="500">
        <f t="shared" si="0"/>
        <v>466000</v>
      </c>
      <c r="D240" s="500">
        <f t="shared" si="0"/>
        <v>418000</v>
      </c>
      <c r="E240" s="500">
        <f t="shared" si="0"/>
        <v>295333.33333333331</v>
      </c>
      <c r="F240" s="500">
        <f t="shared" si="0"/>
        <v>172666.66666666663</v>
      </c>
      <c r="G240" s="500">
        <f t="shared" si="0"/>
        <v>111333.33333333331</v>
      </c>
      <c r="H240" s="500">
        <v>0</v>
      </c>
    </row>
    <row r="241" spans="1:8">
      <c r="B241" s="499"/>
      <c r="C241" s="499"/>
      <c r="D241" s="499"/>
      <c r="E241" s="499"/>
      <c r="F241" s="499"/>
      <c r="H241" s="499"/>
    </row>
    <row r="242" spans="1:8">
      <c r="A242" s="63" t="s">
        <v>587</v>
      </c>
      <c r="B242" s="499">
        <f>(550000-70000)/10*(9/12)</f>
        <v>36000</v>
      </c>
      <c r="C242" s="499">
        <f>(550000-70000)/10</f>
        <v>48000</v>
      </c>
      <c r="D242" s="499">
        <f>(550000-70000)/10</f>
        <v>48000</v>
      </c>
      <c r="E242" s="499">
        <f>(418000-50000)/3</f>
        <v>122666.66666666667</v>
      </c>
      <c r="F242" s="499">
        <f>E242</f>
        <v>122666.66666666667</v>
      </c>
      <c r="G242" s="499">
        <f>F242*6/12</f>
        <v>61333.333333333336</v>
      </c>
      <c r="H242" s="499">
        <f>G242</f>
        <v>61333.333333333336</v>
      </c>
    </row>
    <row r="243" spans="1:8">
      <c r="B243" s="499"/>
      <c r="C243" s="499"/>
      <c r="D243" s="499"/>
      <c r="E243" s="499"/>
      <c r="F243" s="499"/>
      <c r="G243" s="499"/>
    </row>
    <row r="244" spans="1:8">
      <c r="A244" s="63" t="s">
        <v>1253</v>
      </c>
      <c r="H244" s="499">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0">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1" t="s">
        <v>1280</v>
      </c>
      <c r="B277" s="522"/>
      <c r="C277" s="522"/>
      <c r="D277" s="522"/>
      <c r="E277" s="522"/>
      <c r="F277" s="522"/>
      <c r="G277" s="522"/>
      <c r="H277" s="522"/>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6"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7">
        <v>45291</v>
      </c>
      <c r="D314" s="527">
        <v>45657</v>
      </c>
    </row>
    <row r="315" spans="1:5">
      <c r="B315" s="63" t="s">
        <v>935</v>
      </c>
      <c r="C315" s="505">
        <f>B283</f>
        <v>1000000</v>
      </c>
      <c r="D315" s="505">
        <f>C315</f>
        <v>1000000</v>
      </c>
    </row>
    <row r="316" spans="1:5">
      <c r="B316" s="63" t="s">
        <v>936</v>
      </c>
      <c r="C316" s="505">
        <f>-C283</f>
        <v>-75000</v>
      </c>
      <c r="D316" s="505">
        <f>C316-D319</f>
        <v>-150000</v>
      </c>
    </row>
    <row r="317" spans="1:5">
      <c r="B317" s="63" t="s">
        <v>1252</v>
      </c>
      <c r="C317" s="511">
        <f>C315+C316</f>
        <v>925000</v>
      </c>
      <c r="D317" s="511">
        <f>D315+D316</f>
        <v>850000</v>
      </c>
    </row>
    <row r="318" spans="1:5">
      <c r="C318" s="505"/>
      <c r="D318" s="505"/>
    </row>
    <row r="319" spans="1:5">
      <c r="B319" s="63" t="s">
        <v>587</v>
      </c>
      <c r="C319" s="505">
        <f>75000</f>
        <v>75000</v>
      </c>
      <c r="D319" s="505">
        <f>C319</f>
        <v>75000</v>
      </c>
    </row>
    <row r="321" spans="1:8">
      <c r="A321" s="521" t="s">
        <v>1303</v>
      </c>
      <c r="B321" s="522"/>
      <c r="C321" s="522"/>
      <c r="D321" s="522"/>
      <c r="E321" s="522"/>
      <c r="F321" s="522"/>
      <c r="G321" s="522"/>
      <c r="H321" s="522"/>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499">
        <f>80000*C339/28</f>
        <v>20000</v>
      </c>
    </row>
    <row r="346" spans="1:4">
      <c r="C346" s="499"/>
    </row>
    <row r="347" spans="1:4">
      <c r="C347" s="499"/>
    </row>
    <row r="348" spans="1:4">
      <c r="C348" s="499">
        <f>80000*C340/28</f>
        <v>17142.857142857141</v>
      </c>
    </row>
    <row r="349" spans="1:4">
      <c r="C349" s="499"/>
    </row>
    <row r="350" spans="1:4">
      <c r="C350" s="499">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36"/>
  <sheetViews>
    <sheetView showGridLines="0" rightToLeft="1" topLeftCell="A508" zoomScale="150" zoomScaleNormal="150" workbookViewId="0">
      <selection activeCell="D631" sqref="D631"/>
    </sheetView>
  </sheetViews>
  <sheetFormatPr baseColWidth="10" defaultRowHeight="16"/>
  <cols>
    <col min="1" max="16384" width="10.83203125" style="63"/>
  </cols>
  <sheetData>
    <row r="1" spans="1:8">
      <c r="A1" s="494" t="s">
        <v>2308</v>
      </c>
      <c r="B1" s="503"/>
      <c r="C1" s="503"/>
      <c r="D1" s="503"/>
      <c r="E1" s="503"/>
      <c r="F1" s="503"/>
      <c r="G1" s="503"/>
      <c r="H1" s="652">
        <v>45771</v>
      </c>
    </row>
    <row r="4" spans="1:8">
      <c r="A4" s="538" t="s">
        <v>942</v>
      </c>
      <c r="B4" s="538"/>
      <c r="C4" s="538"/>
      <c r="D4" s="538"/>
      <c r="E4" s="538"/>
      <c r="F4" s="538"/>
      <c r="G4" s="538"/>
      <c r="H4" s="538"/>
    </row>
    <row r="5" spans="1:8">
      <c r="A5" s="63" t="s">
        <v>1436</v>
      </c>
    </row>
    <row r="6" spans="1:8">
      <c r="A6" s="63" t="s">
        <v>1437</v>
      </c>
    </row>
    <row r="7" spans="1:8">
      <c r="A7" s="63" t="s">
        <v>1438</v>
      </c>
    </row>
    <row r="8" spans="1:8">
      <c r="A8" s="63" t="s">
        <v>1439</v>
      </c>
    </row>
    <row r="9" spans="1:8">
      <c r="A9" s="63" t="s">
        <v>1440</v>
      </c>
    </row>
    <row r="10" spans="1:8" ht="17" thickBot="1"/>
    <row r="11" spans="1:8">
      <c r="A11" s="515" t="s">
        <v>2065</v>
      </c>
      <c r="B11" s="634"/>
      <c r="C11" s="634"/>
      <c r="D11" s="634"/>
      <c r="E11" s="634"/>
      <c r="F11" s="634"/>
      <c r="G11" s="634"/>
      <c r="H11" s="635"/>
    </row>
    <row r="12" spans="1:8">
      <c r="A12" s="518" t="s">
        <v>2066</v>
      </c>
      <c r="H12" s="519"/>
    </row>
    <row r="13" spans="1:8">
      <c r="A13" s="518" t="s">
        <v>2067</v>
      </c>
      <c r="H13" s="519"/>
    </row>
    <row r="14" spans="1:8">
      <c r="A14" s="518" t="s">
        <v>2069</v>
      </c>
      <c r="H14" s="519"/>
    </row>
    <row r="15" spans="1:8" ht="17" thickBot="1">
      <c r="A15" s="520" t="s">
        <v>2068</v>
      </c>
      <c r="B15" s="523"/>
      <c r="C15" s="523"/>
      <c r="D15" s="523"/>
      <c r="E15" s="523"/>
      <c r="F15" s="523"/>
      <c r="G15" s="523"/>
      <c r="H15" s="524"/>
    </row>
    <row r="17" spans="1:8">
      <c r="A17" s="636" t="s">
        <v>2070</v>
      </c>
      <c r="B17" s="633"/>
      <c r="C17" s="633"/>
      <c r="D17" s="633"/>
      <c r="E17" s="633"/>
      <c r="F17" s="633"/>
      <c r="G17" s="633"/>
      <c r="H17" s="633"/>
    </row>
    <row r="18" spans="1:8">
      <c r="A18" s="2" t="s">
        <v>2059</v>
      </c>
      <c r="B18" s="2"/>
      <c r="C18" s="2"/>
      <c r="D18" s="2"/>
      <c r="E18" s="2"/>
      <c r="F18" s="2"/>
      <c r="G18" s="2"/>
      <c r="H18" s="2"/>
    </row>
    <row r="19" spans="1:8">
      <c r="A19" s="2" t="s">
        <v>2060</v>
      </c>
      <c r="B19" s="2"/>
      <c r="C19" s="2"/>
      <c r="D19" s="2"/>
      <c r="E19" s="2"/>
      <c r="F19" s="2"/>
      <c r="G19" s="2"/>
      <c r="H19" s="2"/>
    </row>
    <row r="20" spans="1:8">
      <c r="A20" s="2" t="s">
        <v>2061</v>
      </c>
      <c r="B20" s="2"/>
      <c r="C20" s="2"/>
      <c r="D20" s="2"/>
      <c r="E20" s="2"/>
      <c r="F20" s="2"/>
      <c r="G20" s="2"/>
      <c r="H20" s="2"/>
    </row>
    <row r="21" spans="1:8">
      <c r="A21" s="2" t="s">
        <v>989</v>
      </c>
      <c r="B21" s="2"/>
      <c r="C21" s="2"/>
      <c r="D21" s="2"/>
      <c r="E21" s="2"/>
      <c r="F21" s="2"/>
      <c r="G21" s="2"/>
      <c r="H21" s="2"/>
    </row>
    <row r="22" spans="1:8">
      <c r="A22" s="2" t="s">
        <v>2062</v>
      </c>
      <c r="B22" s="2"/>
      <c r="C22" s="2"/>
      <c r="D22" s="2"/>
      <c r="E22" s="2"/>
      <c r="F22" s="2"/>
      <c r="G22" s="2"/>
      <c r="H22" s="2"/>
    </row>
    <row r="23" spans="1:8">
      <c r="A23" s="2" t="s">
        <v>2063</v>
      </c>
      <c r="B23" s="2"/>
      <c r="C23" s="2"/>
      <c r="D23" s="2"/>
      <c r="E23" s="2"/>
      <c r="F23" s="2"/>
      <c r="G23" s="2"/>
      <c r="H23" s="2"/>
    </row>
    <row r="25" spans="1:8">
      <c r="A25" s="63" t="s">
        <v>1108</v>
      </c>
    </row>
    <row r="27" spans="1:8">
      <c r="A27" s="63" t="s">
        <v>2071</v>
      </c>
    </row>
    <row r="28" spans="1:8">
      <c r="A28" s="63" t="s">
        <v>2072</v>
      </c>
    </row>
    <row r="29" spans="1:8">
      <c r="A29" s="63" t="s">
        <v>2073</v>
      </c>
    </row>
    <row r="30" spans="1:8">
      <c r="A30" s="63" t="s">
        <v>2074</v>
      </c>
    </row>
    <row r="32" spans="1:8">
      <c r="C32" s="506" t="s">
        <v>1126</v>
      </c>
      <c r="D32" s="506" t="s">
        <v>1127</v>
      </c>
      <c r="E32" s="506" t="s">
        <v>1044</v>
      </c>
    </row>
    <row r="33" spans="3:8">
      <c r="C33" s="638">
        <v>43831</v>
      </c>
      <c r="D33" s="504" t="s">
        <v>2075</v>
      </c>
      <c r="E33" s="505">
        <v>40000</v>
      </c>
    </row>
    <row r="34" spans="3:8">
      <c r="C34" s="638">
        <v>44013</v>
      </c>
      <c r="D34" s="504" t="s">
        <v>2076</v>
      </c>
      <c r="E34" s="505">
        <f>-(4000+40000*5%)</f>
        <v>-6000</v>
      </c>
      <c r="G34" s="63" t="s">
        <v>2077</v>
      </c>
    </row>
    <row r="35" spans="3:8">
      <c r="C35" s="504">
        <v>2020</v>
      </c>
      <c r="D35" s="504" t="s">
        <v>461</v>
      </c>
      <c r="E35" s="567">
        <f>E36-E34-E33</f>
        <v>3800</v>
      </c>
      <c r="F35" s="504" t="s">
        <v>1508</v>
      </c>
    </row>
    <row r="36" spans="3:8">
      <c r="C36" s="638">
        <v>44196</v>
      </c>
      <c r="D36" s="504" t="s">
        <v>2075</v>
      </c>
      <c r="E36" s="511">
        <f>40000*9/10*1.05</f>
        <v>37800</v>
      </c>
      <c r="G36" s="63" t="s">
        <v>2078</v>
      </c>
    </row>
    <row r="37" spans="3:8">
      <c r="C37" s="638">
        <v>44197</v>
      </c>
      <c r="D37" s="504" t="s">
        <v>2076</v>
      </c>
      <c r="E37" s="505">
        <f>-(40000/10+40000*9/10*5%)</f>
        <v>-5800</v>
      </c>
      <c r="F37" s="504"/>
      <c r="H37" s="639" t="s">
        <v>2079</v>
      </c>
    </row>
    <row r="38" spans="3:8">
      <c r="C38" s="638">
        <v>44378</v>
      </c>
      <c r="D38" s="504" t="s">
        <v>2076</v>
      </c>
      <c r="E38" s="505">
        <f>-(40000/10+40000*8/10*5%)</f>
        <v>-5600</v>
      </c>
      <c r="F38" s="504"/>
      <c r="G38" s="504"/>
      <c r="H38" s="639" t="s">
        <v>2080</v>
      </c>
    </row>
    <row r="39" spans="3:8">
      <c r="C39" s="504">
        <v>2021</v>
      </c>
      <c r="D39" s="504" t="s">
        <v>461</v>
      </c>
      <c r="E39" s="567">
        <f>E40-E38-E37-E36</f>
        <v>3000</v>
      </c>
      <c r="F39" s="504" t="s">
        <v>1508</v>
      </c>
      <c r="G39" s="504"/>
    </row>
    <row r="40" spans="3:8">
      <c r="C40" s="638">
        <v>44561</v>
      </c>
      <c r="D40" s="504" t="s">
        <v>2075</v>
      </c>
      <c r="E40" s="511">
        <f>40000*7/10*1.05</f>
        <v>29400</v>
      </c>
      <c r="F40" s="504"/>
      <c r="G40" s="63" t="s">
        <v>2081</v>
      </c>
    </row>
    <row r="41" spans="3:8">
      <c r="C41" s="638">
        <v>44562</v>
      </c>
      <c r="D41" s="504" t="s">
        <v>2076</v>
      </c>
      <c r="E41" s="505">
        <f>-(4000+40000*7/10*5%)</f>
        <v>-5400</v>
      </c>
      <c r="F41" s="504"/>
      <c r="H41" s="639" t="s">
        <v>2082</v>
      </c>
    </row>
    <row r="42" spans="3:8">
      <c r="C42" s="638">
        <v>44743</v>
      </c>
      <c r="D42" s="504" t="s">
        <v>2076</v>
      </c>
      <c r="E42" s="505">
        <f>-(4000+40000*6/10*5%)</f>
        <v>-5200</v>
      </c>
      <c r="F42" s="504"/>
      <c r="G42" s="504"/>
      <c r="H42" s="639" t="s">
        <v>2083</v>
      </c>
    </row>
    <row r="43" spans="3:8">
      <c r="C43" s="504">
        <v>2022</v>
      </c>
      <c r="D43" s="504" t="s">
        <v>461</v>
      </c>
      <c r="E43" s="567">
        <f>E44-E42-E41-E40</f>
        <v>2200</v>
      </c>
      <c r="F43" s="504" t="s">
        <v>1508</v>
      </c>
      <c r="G43" s="504"/>
    </row>
    <row r="44" spans="3:8">
      <c r="C44" s="638">
        <v>44926</v>
      </c>
      <c r="D44" s="504" t="s">
        <v>2075</v>
      </c>
      <c r="E44" s="511">
        <f>40000*5/10*1.05</f>
        <v>21000</v>
      </c>
      <c r="F44" s="504"/>
      <c r="G44" s="63" t="s">
        <v>2084</v>
      </c>
    </row>
    <row r="45" spans="3:8">
      <c r="C45" s="638">
        <v>44927</v>
      </c>
      <c r="D45" s="504" t="s">
        <v>2076</v>
      </c>
      <c r="E45" s="505">
        <f>-(4000+40000*5/10*5%)</f>
        <v>-5000</v>
      </c>
      <c r="F45" s="504"/>
      <c r="H45" s="639" t="s">
        <v>2085</v>
      </c>
    </row>
    <row r="46" spans="3:8">
      <c r="C46" s="638">
        <v>45108</v>
      </c>
      <c r="D46" s="504" t="s">
        <v>2076</v>
      </c>
      <c r="E46" s="505">
        <f>-(4000+40000*4/10*5%)</f>
        <v>-4800</v>
      </c>
      <c r="F46" s="504"/>
      <c r="G46" s="504"/>
      <c r="H46" s="639" t="s">
        <v>2086</v>
      </c>
    </row>
    <row r="47" spans="3:8">
      <c r="C47" s="504">
        <v>2023</v>
      </c>
      <c r="D47" s="504" t="s">
        <v>461</v>
      </c>
      <c r="E47" s="567">
        <f>E48-E46-E45-E44</f>
        <v>1400</v>
      </c>
      <c r="F47" s="504" t="s">
        <v>1508</v>
      </c>
      <c r="G47" s="504"/>
    </row>
    <row r="48" spans="3:8">
      <c r="C48" s="638">
        <v>45291</v>
      </c>
      <c r="D48" s="504" t="s">
        <v>2075</v>
      </c>
      <c r="E48" s="511">
        <f>40000*3/10*1.05</f>
        <v>12600</v>
      </c>
      <c r="F48" s="504"/>
      <c r="G48" s="63" t="s">
        <v>2087</v>
      </c>
    </row>
    <row r="50" spans="1:9">
      <c r="A50" s="5" t="s">
        <v>2088</v>
      </c>
    </row>
    <row r="52" spans="1:9">
      <c r="A52" s="636" t="s">
        <v>2099</v>
      </c>
      <c r="B52" s="633"/>
      <c r="C52" s="633"/>
      <c r="D52" s="633"/>
      <c r="E52" s="633"/>
      <c r="F52" s="633"/>
      <c r="G52" s="633"/>
      <c r="H52" s="633"/>
    </row>
    <row r="53" spans="1:9">
      <c r="A53" s="2"/>
      <c r="B53" s="2"/>
      <c r="C53" s="2"/>
      <c r="D53" s="2"/>
      <c r="E53" s="2"/>
      <c r="F53" s="2"/>
      <c r="G53" s="2"/>
      <c r="H53" s="2"/>
    </row>
    <row r="54" spans="1:9">
      <c r="A54" s="2" t="s">
        <v>2089</v>
      </c>
      <c r="B54" s="2"/>
      <c r="C54" s="2"/>
      <c r="D54" s="2"/>
      <c r="E54" s="2"/>
      <c r="F54" s="2"/>
      <c r="G54" s="2"/>
      <c r="H54" s="2"/>
    </row>
    <row r="55" spans="1:9">
      <c r="A55" s="2" t="s">
        <v>2090</v>
      </c>
      <c r="B55" s="2"/>
      <c r="C55" s="2"/>
      <c r="D55" s="2"/>
      <c r="E55" s="2"/>
      <c r="F55" s="2"/>
      <c r="G55" s="2"/>
      <c r="H55" s="2"/>
    </row>
    <row r="56" spans="1:9">
      <c r="A56" s="2" t="s">
        <v>2091</v>
      </c>
      <c r="B56" s="2"/>
      <c r="C56" s="2"/>
      <c r="D56" s="2"/>
      <c r="E56" s="2"/>
      <c r="F56" s="2"/>
      <c r="G56" s="2"/>
      <c r="H56" s="2"/>
    </row>
    <row r="57" spans="1:9">
      <c r="A57" s="2" t="s">
        <v>2092</v>
      </c>
      <c r="B57" s="2"/>
      <c r="C57" s="2"/>
      <c r="D57" s="2"/>
      <c r="E57" s="2"/>
      <c r="F57" s="2"/>
      <c r="G57" s="2"/>
      <c r="H57" s="2"/>
    </row>
    <row r="58" spans="1:9">
      <c r="A58" s="2" t="s">
        <v>2093</v>
      </c>
      <c r="B58" s="2"/>
      <c r="C58" s="2"/>
      <c r="D58" s="2"/>
      <c r="E58" s="2"/>
      <c r="F58" s="2"/>
      <c r="G58" s="2"/>
      <c r="H58" s="2"/>
    </row>
    <row r="59" spans="1:9">
      <c r="A59" s="2" t="s">
        <v>2094</v>
      </c>
      <c r="B59" s="2"/>
      <c r="C59" s="2"/>
      <c r="D59" s="2"/>
      <c r="E59" s="2"/>
      <c r="F59" s="2"/>
      <c r="G59" s="2"/>
      <c r="H59" s="2"/>
    </row>
    <row r="60" spans="1:9">
      <c r="A60" s="2"/>
      <c r="B60" s="2"/>
      <c r="C60" s="2"/>
      <c r="D60" s="2"/>
      <c r="E60" s="2"/>
      <c r="F60" s="2"/>
      <c r="G60" s="2"/>
      <c r="H60" s="2"/>
    </row>
    <row r="61" spans="1:9">
      <c r="A61" s="2" t="s">
        <v>2095</v>
      </c>
      <c r="B61" s="2"/>
      <c r="C61" s="2"/>
      <c r="D61" s="2"/>
      <c r="E61" s="2"/>
      <c r="F61" s="2"/>
      <c r="G61" s="2"/>
      <c r="H61" s="2"/>
    </row>
    <row r="62" spans="1:9">
      <c r="A62" s="2" t="s">
        <v>455</v>
      </c>
      <c r="B62" s="2" t="s">
        <v>2096</v>
      </c>
      <c r="C62" s="2"/>
      <c r="D62" s="2"/>
      <c r="E62" s="2"/>
      <c r="F62" s="2"/>
      <c r="G62" s="2"/>
      <c r="H62" s="2" t="s">
        <v>1983</v>
      </c>
      <c r="I62" s="499">
        <f>E69</f>
        <v>53371.428571428638</v>
      </c>
    </row>
    <row r="63" spans="1:9">
      <c r="A63" s="2" t="s">
        <v>460</v>
      </c>
      <c r="B63" s="2" t="s">
        <v>2097</v>
      </c>
      <c r="C63" s="2"/>
      <c r="D63" s="2"/>
      <c r="E63" s="2"/>
      <c r="F63" s="2"/>
      <c r="G63" s="2"/>
      <c r="H63" s="2"/>
    </row>
    <row r="64" spans="1:9">
      <c r="A64" s="2"/>
      <c r="B64" s="2" t="s">
        <v>2098</v>
      </c>
      <c r="C64" s="2"/>
      <c r="D64" s="2"/>
      <c r="E64" s="2"/>
      <c r="F64" s="2"/>
      <c r="G64" s="2"/>
      <c r="H64" s="2" t="s">
        <v>1984</v>
      </c>
      <c r="I64" s="499">
        <f>E70</f>
        <v>481371.42857142858</v>
      </c>
    </row>
    <row r="66" spans="1:8">
      <c r="A66" s="63" t="s">
        <v>2104</v>
      </c>
      <c r="C66" s="506" t="s">
        <v>1126</v>
      </c>
      <c r="D66" s="506" t="s">
        <v>1127</v>
      </c>
      <c r="E66" s="506" t="s">
        <v>1044</v>
      </c>
    </row>
    <row r="67" spans="1:8">
      <c r="C67" s="638">
        <v>43831</v>
      </c>
      <c r="D67" s="504" t="s">
        <v>2075</v>
      </c>
      <c r="E67" s="505">
        <v>500000</v>
      </c>
    </row>
    <row r="68" spans="1:8">
      <c r="C68" s="638">
        <v>44013</v>
      </c>
      <c r="D68" s="504" t="s">
        <v>2100</v>
      </c>
      <c r="E68" s="505">
        <f>-(500000/10+500000*4%)*3.6/3.5</f>
        <v>-72000</v>
      </c>
      <c r="H68" s="63" t="s">
        <v>2102</v>
      </c>
    </row>
    <row r="69" spans="1:8">
      <c r="C69" s="504">
        <v>2020</v>
      </c>
      <c r="D69" s="504" t="s">
        <v>2101</v>
      </c>
      <c r="E69" s="567">
        <f>E70-E68-E67</f>
        <v>53371.428571428638</v>
      </c>
      <c r="F69" s="504" t="s">
        <v>1508</v>
      </c>
    </row>
    <row r="70" spans="1:8">
      <c r="C70" s="638">
        <v>44196</v>
      </c>
      <c r="D70" s="504" t="s">
        <v>2075</v>
      </c>
      <c r="E70" s="511">
        <f>500000*9/10*1.04*3.6/3.5</f>
        <v>481371.42857142858</v>
      </c>
      <c r="H70" s="63" t="s">
        <v>2103</v>
      </c>
    </row>
    <row r="72" spans="1:8">
      <c r="A72" s="538" t="s">
        <v>2105</v>
      </c>
      <c r="B72" s="538"/>
      <c r="C72" s="538"/>
      <c r="D72" s="538"/>
      <c r="E72" s="538"/>
      <c r="F72" s="538"/>
      <c r="G72" s="538"/>
      <c r="H72" s="538"/>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39" t="s">
        <v>1454</v>
      </c>
      <c r="D97" s="539" t="s">
        <v>1455</v>
      </c>
      <c r="E97" s="539" t="s">
        <v>1456</v>
      </c>
    </row>
    <row r="98" spans="1:7">
      <c r="A98" s="190">
        <v>0</v>
      </c>
      <c r="B98" s="540">
        <v>43101</v>
      </c>
      <c r="C98" s="541"/>
      <c r="D98" s="541"/>
      <c r="E98" s="187">
        <v>500000</v>
      </c>
    </row>
    <row r="99" spans="1:7">
      <c r="A99" s="190">
        <v>1</v>
      </c>
      <c r="B99" s="540">
        <v>43465</v>
      </c>
      <c r="C99" s="187">
        <f>500000/5</f>
        <v>100000</v>
      </c>
      <c r="D99" s="187">
        <f>10%*500000</f>
        <v>50000</v>
      </c>
      <c r="E99" s="187">
        <f>E98-C99</f>
        <v>400000</v>
      </c>
    </row>
    <row r="100" spans="1:7">
      <c r="A100" s="190">
        <v>2</v>
      </c>
      <c r="B100" s="540">
        <v>43830</v>
      </c>
      <c r="C100" s="187">
        <f>C99</f>
        <v>100000</v>
      </c>
      <c r="D100" s="187">
        <f>10%*400000</f>
        <v>40000</v>
      </c>
      <c r="E100" s="187">
        <f>E99-C100</f>
        <v>300000</v>
      </c>
    </row>
    <row r="101" spans="1:7">
      <c r="A101" s="190">
        <v>3</v>
      </c>
      <c r="B101" s="540">
        <v>44196</v>
      </c>
      <c r="C101" s="187">
        <f>C100</f>
        <v>100000</v>
      </c>
      <c r="D101" s="187">
        <f>10%*300000</f>
        <v>30000</v>
      </c>
      <c r="E101" s="187">
        <f>E100-C101</f>
        <v>200000</v>
      </c>
    </row>
    <row r="102" spans="1:7">
      <c r="A102" s="190">
        <v>4</v>
      </c>
      <c r="B102" s="540">
        <v>44561</v>
      </c>
      <c r="C102" s="187">
        <f>C101</f>
        <v>100000</v>
      </c>
      <c r="D102" s="187">
        <f>10%*200000</f>
        <v>20000</v>
      </c>
      <c r="E102" s="187">
        <f>E101-C102</f>
        <v>100000</v>
      </c>
    </row>
    <row r="103" spans="1:7">
      <c r="A103" s="190">
        <v>5</v>
      </c>
      <c r="B103" s="540">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4" t="s">
        <v>1474</v>
      </c>
      <c r="D121" s="504" t="s">
        <v>1475</v>
      </c>
      <c r="E121" s="504"/>
      <c r="F121" s="504"/>
      <c r="G121" s="504" t="s">
        <v>1476</v>
      </c>
    </row>
    <row r="122" spans="1:7" ht="51">
      <c r="A122" s="190" t="s">
        <v>1453</v>
      </c>
      <c r="B122" s="190" t="s">
        <v>1126</v>
      </c>
      <c r="C122" s="539" t="s">
        <v>1454</v>
      </c>
      <c r="D122" s="539" t="s">
        <v>1455</v>
      </c>
      <c r="E122" s="539" t="s">
        <v>1456</v>
      </c>
      <c r="F122" s="5"/>
      <c r="G122" s="543" t="s">
        <v>1471</v>
      </c>
    </row>
    <row r="123" spans="1:7">
      <c r="A123" s="190">
        <v>0</v>
      </c>
      <c r="B123" s="540">
        <v>43101</v>
      </c>
      <c r="C123" s="541"/>
      <c r="D123" s="541"/>
      <c r="E123" s="187">
        <v>500000</v>
      </c>
      <c r="F123" s="5"/>
      <c r="G123" s="544"/>
    </row>
    <row r="124" spans="1:7">
      <c r="A124" s="190">
        <v>1</v>
      </c>
      <c r="B124" s="540">
        <v>43465</v>
      </c>
      <c r="C124" s="542">
        <f>500000/5</f>
        <v>100000</v>
      </c>
      <c r="D124" s="542">
        <f>10%*500000</f>
        <v>50000</v>
      </c>
      <c r="E124" s="187">
        <f>E123-C124</f>
        <v>400000</v>
      </c>
      <c r="F124" s="545">
        <v>43465</v>
      </c>
      <c r="G124" s="546">
        <f>C124+D124</f>
        <v>150000</v>
      </c>
    </row>
    <row r="125" spans="1:7">
      <c r="A125" s="190">
        <v>2</v>
      </c>
      <c r="B125" s="540">
        <v>43830</v>
      </c>
      <c r="C125" s="187">
        <f>C124</f>
        <v>100000</v>
      </c>
      <c r="D125" s="187">
        <f>10%*400000</f>
        <v>40000</v>
      </c>
      <c r="E125" s="187">
        <f>E124-C125</f>
        <v>300000</v>
      </c>
      <c r="F125" s="547">
        <v>43830</v>
      </c>
      <c r="G125" s="536">
        <f>C125+D125</f>
        <v>140000</v>
      </c>
    </row>
    <row r="126" spans="1:7">
      <c r="A126" s="190">
        <v>3</v>
      </c>
      <c r="B126" s="540">
        <v>44196</v>
      </c>
      <c r="C126" s="542">
        <f>C125</f>
        <v>100000</v>
      </c>
      <c r="D126" s="542">
        <f>10%*300000</f>
        <v>30000</v>
      </c>
      <c r="E126" s="187">
        <f>E125-C126</f>
        <v>200000</v>
      </c>
      <c r="F126" s="545">
        <v>44196</v>
      </c>
      <c r="G126" s="546">
        <f>C126+D126</f>
        <v>130000</v>
      </c>
    </row>
    <row r="127" spans="1:7">
      <c r="A127" s="190">
        <v>4</v>
      </c>
      <c r="B127" s="540">
        <v>44561</v>
      </c>
      <c r="C127" s="187">
        <f>C126</f>
        <v>100000</v>
      </c>
      <c r="D127" s="187">
        <f>10%*200000</f>
        <v>20000</v>
      </c>
      <c r="E127" s="187">
        <f>E126-C127</f>
        <v>100000</v>
      </c>
      <c r="F127" s="547">
        <v>44561</v>
      </c>
      <c r="G127" s="536">
        <f>C127+D127</f>
        <v>120000</v>
      </c>
    </row>
    <row r="128" spans="1:7">
      <c r="A128" s="190">
        <v>5</v>
      </c>
      <c r="B128" s="540">
        <v>44926</v>
      </c>
      <c r="C128" s="187">
        <f>C127</f>
        <v>100000</v>
      </c>
      <c r="D128" s="187">
        <f>10%*100000</f>
        <v>10000</v>
      </c>
      <c r="E128" s="187">
        <f>E127-C128</f>
        <v>0</v>
      </c>
      <c r="F128" s="547">
        <v>44926</v>
      </c>
      <c r="G128" s="536">
        <f>C128+D128</f>
        <v>110000</v>
      </c>
    </row>
    <row r="130" spans="1:8">
      <c r="A130" s="494" t="s">
        <v>2106</v>
      </c>
      <c r="B130" s="503"/>
      <c r="C130" s="503"/>
      <c r="D130" s="503"/>
      <c r="E130" s="503"/>
      <c r="F130" s="503"/>
      <c r="G130" s="503"/>
      <c r="H130" s="503"/>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737"/>
      <c r="C146" s="738"/>
      <c r="D146" s="529" t="s">
        <v>197</v>
      </c>
      <c r="E146" s="529" t="s">
        <v>197</v>
      </c>
      <c r="F146" s="734" t="s">
        <v>1506</v>
      </c>
      <c r="G146" s="529" t="s">
        <v>1496</v>
      </c>
      <c r="H146" s="529" t="s">
        <v>1501</v>
      </c>
      <c r="I146" s="736" t="s">
        <v>436</v>
      </c>
    </row>
    <row r="147" spans="1:9">
      <c r="A147" s="190" t="s">
        <v>1126</v>
      </c>
      <c r="B147" s="737" t="s">
        <v>1488</v>
      </c>
      <c r="C147" s="738"/>
      <c r="D147" s="529" t="s">
        <v>1489</v>
      </c>
      <c r="E147" s="529" t="s">
        <v>1490</v>
      </c>
      <c r="F147" s="735"/>
      <c r="G147" s="529" t="s">
        <v>1497</v>
      </c>
      <c r="H147" s="529" t="s">
        <v>500</v>
      </c>
      <c r="I147" s="735"/>
    </row>
    <row r="148" spans="1:9">
      <c r="A148" s="190"/>
      <c r="B148" s="526" t="s">
        <v>1505</v>
      </c>
      <c r="C148" s="529"/>
      <c r="D148" s="550" t="s">
        <v>88</v>
      </c>
      <c r="E148" s="550" t="s">
        <v>88</v>
      </c>
      <c r="F148" s="550" t="s">
        <v>88</v>
      </c>
      <c r="G148" s="550" t="s">
        <v>88</v>
      </c>
      <c r="H148" s="550" t="s">
        <v>88</v>
      </c>
      <c r="I148" s="550" t="s">
        <v>91</v>
      </c>
    </row>
    <row r="149" spans="1:9">
      <c r="A149" s="190"/>
      <c r="B149" s="526" t="s">
        <v>1507</v>
      </c>
      <c r="C149" s="529"/>
      <c r="D149" s="529" t="s">
        <v>88</v>
      </c>
      <c r="E149" s="529"/>
      <c r="F149" s="529" t="s">
        <v>1508</v>
      </c>
      <c r="G149" s="529"/>
      <c r="H149" s="529"/>
      <c r="I149" s="529" t="s">
        <v>88</v>
      </c>
    </row>
    <row r="150" spans="1:9">
      <c r="A150" s="190"/>
      <c r="B150" s="526" t="s">
        <v>1509</v>
      </c>
      <c r="C150" s="529"/>
      <c r="D150" s="529" t="s">
        <v>88</v>
      </c>
      <c r="E150" s="529" t="s">
        <v>88</v>
      </c>
      <c r="F150" s="529" t="s">
        <v>89</v>
      </c>
      <c r="G150" s="529"/>
      <c r="H150" s="529" t="s">
        <v>89</v>
      </c>
      <c r="I150" s="529">
        <v>0</v>
      </c>
    </row>
    <row r="151" spans="1:9">
      <c r="A151" s="190"/>
      <c r="B151" s="731" t="s">
        <v>1510</v>
      </c>
      <c r="C151" s="732"/>
      <c r="D151" s="529" t="s">
        <v>88</v>
      </c>
      <c r="E151" s="529" t="s">
        <v>89</v>
      </c>
      <c r="F151" s="529"/>
      <c r="G151" s="529"/>
      <c r="H151" s="529"/>
      <c r="I151" s="529">
        <v>0</v>
      </c>
    </row>
    <row r="152" spans="1:9">
      <c r="A152" s="190"/>
      <c r="B152" s="731" t="s">
        <v>1511</v>
      </c>
      <c r="C152" s="732"/>
      <c r="D152" s="529"/>
      <c r="E152" s="529"/>
      <c r="F152" s="529"/>
      <c r="G152" s="529"/>
      <c r="H152" s="529" t="s">
        <v>89</v>
      </c>
      <c r="I152" s="529" t="s">
        <v>89</v>
      </c>
    </row>
    <row r="153" spans="1:9">
      <c r="A153" s="190"/>
      <c r="B153" s="731" t="s">
        <v>467</v>
      </c>
      <c r="C153" s="732"/>
      <c r="D153" s="529"/>
      <c r="E153" s="529"/>
      <c r="F153" s="529"/>
      <c r="G153" s="529"/>
      <c r="H153" s="529" t="s">
        <v>88</v>
      </c>
      <c r="I153" s="529" t="s">
        <v>88</v>
      </c>
    </row>
    <row r="154" spans="1:9">
      <c r="A154" s="190"/>
      <c r="B154" s="548" t="s">
        <v>1512</v>
      </c>
      <c r="C154" s="549"/>
      <c r="D154" s="529"/>
      <c r="E154" s="529"/>
      <c r="F154" s="529"/>
      <c r="G154" s="529" t="s">
        <v>88</v>
      </c>
      <c r="H154" s="529" t="s">
        <v>89</v>
      </c>
      <c r="I154" s="529">
        <v>0</v>
      </c>
    </row>
    <row r="155" spans="1:9">
      <c r="A155" s="190"/>
      <c r="B155" s="548" t="s">
        <v>1513</v>
      </c>
      <c r="C155" s="549"/>
      <c r="D155" s="529"/>
      <c r="E155" s="529"/>
      <c r="F155" s="529"/>
      <c r="G155" s="529" t="s">
        <v>89</v>
      </c>
      <c r="H155" s="529" t="s">
        <v>88</v>
      </c>
      <c r="I155" s="529">
        <v>0</v>
      </c>
    </row>
    <row r="156" spans="1:9">
      <c r="A156" s="190"/>
      <c r="B156" s="526" t="s">
        <v>1514</v>
      </c>
      <c r="C156" s="529"/>
      <c r="D156" s="550" t="s">
        <v>91</v>
      </c>
      <c r="E156" s="550" t="s">
        <v>91</v>
      </c>
      <c r="F156" s="550" t="s">
        <v>91</v>
      </c>
      <c r="G156" s="550" t="s">
        <v>91</v>
      </c>
      <c r="H156" s="550" t="s">
        <v>91</v>
      </c>
      <c r="I156" s="550"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4" t="s">
        <v>1648</v>
      </c>
      <c r="B172" s="565"/>
      <c r="C172" s="565"/>
      <c r="D172" s="565"/>
      <c r="E172" s="565"/>
      <c r="F172" s="565"/>
      <c r="G172" s="565"/>
      <c r="H172" s="565"/>
    </row>
    <row r="173" spans="1:8">
      <c r="A173" s="63" t="s">
        <v>1562</v>
      </c>
    </row>
    <row r="174" spans="1:8">
      <c r="A174" s="63" t="s">
        <v>1563</v>
      </c>
    </row>
    <row r="175" spans="1:8">
      <c r="A175" s="63" t="s">
        <v>1564</v>
      </c>
    </row>
    <row r="176" spans="1:8">
      <c r="A176" s="63" t="s">
        <v>1565</v>
      </c>
    </row>
    <row r="177" spans="1:8">
      <c r="A177" s="63" t="s">
        <v>1566</v>
      </c>
    </row>
    <row r="178" spans="1:8" ht="17" thickBot="1"/>
    <row r="179" spans="1:8" ht="17" thickBot="1">
      <c r="A179" s="554" t="s">
        <v>1567</v>
      </c>
      <c r="B179" s="555"/>
      <c r="C179" s="555"/>
      <c r="D179" s="555"/>
      <c r="E179" s="555"/>
      <c r="F179" s="555"/>
      <c r="G179" s="555"/>
      <c r="H179" s="556"/>
    </row>
    <row r="181" spans="1:8">
      <c r="A181" s="63" t="s">
        <v>1515</v>
      </c>
    </row>
    <row r="183" spans="1:8">
      <c r="A183" s="63" t="s">
        <v>1516</v>
      </c>
      <c r="D183" s="63" t="s">
        <v>1517</v>
      </c>
      <c r="E183" s="63" t="s">
        <v>1518</v>
      </c>
    </row>
    <row r="184" spans="1:8">
      <c r="A184" s="533"/>
      <c r="B184" s="533"/>
      <c r="C184" s="533"/>
      <c r="D184" s="533" t="s">
        <v>1044</v>
      </c>
      <c r="E184" s="533" t="s">
        <v>1044</v>
      </c>
      <c r="F184" s="533"/>
    </row>
    <row r="185" spans="1:8">
      <c r="A185" s="63" t="s">
        <v>1568</v>
      </c>
      <c r="D185" s="64">
        <v>4000000</v>
      </c>
      <c r="E185" s="64">
        <v>400000</v>
      </c>
    </row>
    <row r="186" spans="1:8">
      <c r="A186" s="63" t="s">
        <v>1526</v>
      </c>
      <c r="D186" s="64">
        <v>5000000</v>
      </c>
      <c r="E186" s="64">
        <v>800000</v>
      </c>
      <c r="G186" s="63" t="s">
        <v>1569</v>
      </c>
    </row>
    <row r="187" spans="1:8">
      <c r="A187" s="63" t="s">
        <v>1519</v>
      </c>
      <c r="D187" s="64"/>
      <c r="E187" s="64">
        <v>850000</v>
      </c>
      <c r="G187" s="63" t="s">
        <v>1570</v>
      </c>
    </row>
    <row r="188" spans="1:8">
      <c r="A188" s="63" t="s">
        <v>1520</v>
      </c>
      <c r="D188" s="64"/>
      <c r="E188" s="64">
        <v>190000</v>
      </c>
      <c r="G188" s="63" t="s">
        <v>1571</v>
      </c>
    </row>
    <row r="189" spans="1:8">
      <c r="A189" s="63" t="s">
        <v>1521</v>
      </c>
      <c r="D189" s="64"/>
      <c r="E189" s="64">
        <v>1400000</v>
      </c>
      <c r="G189" s="63" t="s">
        <v>1572</v>
      </c>
    </row>
    <row r="190" spans="1:8">
      <c r="A190" s="63" t="s">
        <v>436</v>
      </c>
      <c r="D190" s="64"/>
      <c r="E190" s="510">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7" t="s">
        <v>1108</v>
      </c>
      <c r="B213" s="558"/>
      <c r="C213" s="558"/>
      <c r="D213" s="558"/>
      <c r="E213" s="558"/>
      <c r="F213" s="558"/>
      <c r="G213" s="558"/>
      <c r="H213" s="559"/>
    </row>
    <row r="214" spans="1:8">
      <c r="H214"/>
    </row>
    <row r="215" spans="1:8">
      <c r="A215" s="63" t="s">
        <v>1573</v>
      </c>
      <c r="H215"/>
    </row>
    <row r="216" spans="1:8">
      <c r="H216"/>
    </row>
    <row r="217" spans="1:8">
      <c r="A217" s="5"/>
      <c r="B217" s="5"/>
      <c r="C217" s="507" t="s">
        <v>1574</v>
      </c>
      <c r="D217" s="507" t="s">
        <v>1574</v>
      </c>
      <c r="E217" s="507" t="s">
        <v>540</v>
      </c>
      <c r="F217" s="507"/>
      <c r="G217" s="507"/>
      <c r="H217" s="563"/>
    </row>
    <row r="218" spans="1:8">
      <c r="A218" s="5"/>
      <c r="B218" s="5"/>
      <c r="C218" s="507" t="s">
        <v>1575</v>
      </c>
      <c r="D218" s="507" t="s">
        <v>1575</v>
      </c>
      <c r="E218" s="507" t="s">
        <v>1579</v>
      </c>
      <c r="F218" s="507" t="s">
        <v>1581</v>
      </c>
      <c r="G218" s="507" t="s">
        <v>1605</v>
      </c>
      <c r="H218" s="563"/>
    </row>
    <row r="219" spans="1:8">
      <c r="A219" s="5"/>
      <c r="B219" s="5"/>
      <c r="C219" s="507" t="s">
        <v>1576</v>
      </c>
      <c r="D219" s="507" t="s">
        <v>1578</v>
      </c>
      <c r="E219" s="507" t="s">
        <v>1574</v>
      </c>
      <c r="F219" s="507" t="s">
        <v>1582</v>
      </c>
      <c r="G219" s="507" t="s">
        <v>1583</v>
      </c>
      <c r="H219" s="563"/>
    </row>
    <row r="220" spans="1:8">
      <c r="A220" s="560" t="s">
        <v>1126</v>
      </c>
      <c r="B220" s="561" t="s">
        <v>1127</v>
      </c>
      <c r="C220" s="508" t="s">
        <v>1577</v>
      </c>
      <c r="D220" s="508" t="s">
        <v>1577</v>
      </c>
      <c r="E220" s="508" t="s">
        <v>1580</v>
      </c>
      <c r="F220" s="508" t="s">
        <v>1497</v>
      </c>
      <c r="G220" s="508" t="s">
        <v>1584</v>
      </c>
      <c r="H220" s="508" t="s">
        <v>436</v>
      </c>
    </row>
    <row r="221" spans="1:8">
      <c r="A221" s="534" t="s">
        <v>1585</v>
      </c>
      <c r="B221" s="63" t="s">
        <v>1586</v>
      </c>
      <c r="C221" s="499">
        <v>400000</v>
      </c>
      <c r="D221" s="499">
        <v>800000</v>
      </c>
      <c r="E221" s="499">
        <v>850000</v>
      </c>
      <c r="F221" s="499">
        <v>190000</v>
      </c>
      <c r="G221" s="499">
        <v>1400000</v>
      </c>
      <c r="H221" s="499">
        <f>SUM(C221:G221)</f>
        <v>3640000</v>
      </c>
    </row>
    <row r="222" spans="1:8">
      <c r="A222" s="534" t="s">
        <v>1587</v>
      </c>
      <c r="B222" s="63" t="s">
        <v>1588</v>
      </c>
      <c r="C222" s="499">
        <f>200000*1</f>
        <v>200000</v>
      </c>
      <c r="D222" s="499"/>
      <c r="E222" s="499">
        <f>H222-C222</f>
        <v>340000</v>
      </c>
      <c r="F222" s="499"/>
      <c r="G222" s="499"/>
      <c r="H222" s="499">
        <f>200000*3*(1-10%)</f>
        <v>540000</v>
      </c>
    </row>
    <row r="223" spans="1:8">
      <c r="A223" s="534" t="s">
        <v>1596</v>
      </c>
      <c r="B223" s="63" t="s">
        <v>1597</v>
      </c>
      <c r="C223" s="499">
        <f>15%*(400000+200000)</f>
        <v>90000</v>
      </c>
      <c r="D223" s="499">
        <f>15%*800000</f>
        <v>120000</v>
      </c>
      <c r="E223" s="499">
        <f>H223-C223-D223</f>
        <v>-210000</v>
      </c>
      <c r="F223" s="499"/>
      <c r="G223" s="499"/>
      <c r="H223" s="499">
        <v>0</v>
      </c>
    </row>
    <row r="224" spans="1:8">
      <c r="A224" s="534" t="s">
        <v>1606</v>
      </c>
      <c r="B224" s="3" t="s">
        <v>1614</v>
      </c>
      <c r="C224" s="499">
        <f>10%*(400000+200000+90000)</f>
        <v>69000</v>
      </c>
      <c r="D224" s="499"/>
      <c r="E224" s="499">
        <f>-C224</f>
        <v>-69000</v>
      </c>
      <c r="F224" s="64"/>
      <c r="G224" s="64"/>
      <c r="H224" s="499">
        <v>0</v>
      </c>
    </row>
    <row r="225" spans="1:8">
      <c r="A225" s="534" t="s">
        <v>1606</v>
      </c>
      <c r="B225" s="63" t="s">
        <v>1607</v>
      </c>
      <c r="C225" s="499">
        <f>-D225</f>
        <v>920000</v>
      </c>
      <c r="D225" s="499">
        <f>-120000-800000</f>
        <v>-920000</v>
      </c>
      <c r="E225" s="499"/>
      <c r="F225" s="64"/>
      <c r="G225" s="64"/>
      <c r="H225" s="499">
        <v>0</v>
      </c>
    </row>
    <row r="226" spans="1:8">
      <c r="A226" s="63">
        <v>2024</v>
      </c>
      <c r="B226" s="63" t="s">
        <v>467</v>
      </c>
      <c r="C226" s="64"/>
      <c r="D226" s="64"/>
      <c r="E226" s="64"/>
      <c r="F226" s="64"/>
      <c r="G226" s="64">
        <v>750000</v>
      </c>
      <c r="H226" s="64">
        <f>G226</f>
        <v>750000</v>
      </c>
    </row>
    <row r="227" spans="1:8">
      <c r="A227" s="534" t="s">
        <v>1631</v>
      </c>
      <c r="B227" s="63" t="s">
        <v>123</v>
      </c>
      <c r="C227" s="64"/>
      <c r="D227" s="64"/>
      <c r="E227" s="64"/>
      <c r="F227" s="64"/>
      <c r="G227" s="499">
        <f>-10%*(400000+200000+90000+69000+920000)</f>
        <v>-167900</v>
      </c>
      <c r="H227" s="499">
        <f>G227</f>
        <v>-167900</v>
      </c>
    </row>
    <row r="228" spans="1:8">
      <c r="A228" s="534" t="s">
        <v>1631</v>
      </c>
      <c r="B228" s="63" t="s">
        <v>1637</v>
      </c>
      <c r="C228" s="64"/>
      <c r="D228" s="64"/>
      <c r="E228" s="64"/>
      <c r="F228" s="499">
        <f>-F221</f>
        <v>-190000</v>
      </c>
      <c r="G228" s="499">
        <f>-F228</f>
        <v>190000</v>
      </c>
      <c r="H228" s="64">
        <v>0</v>
      </c>
    </row>
    <row r="229" spans="1:8">
      <c r="A229" s="534" t="s">
        <v>1631</v>
      </c>
      <c r="B229" s="63" t="s">
        <v>1647</v>
      </c>
      <c r="C229" s="562">
        <f t="shared" ref="C229:H229" si="0">SUM(C221:C228)</f>
        <v>1679000</v>
      </c>
      <c r="D229" s="562">
        <f t="shared" si="0"/>
        <v>0</v>
      </c>
      <c r="E229" s="562">
        <f t="shared" si="0"/>
        <v>911000</v>
      </c>
      <c r="F229" s="562">
        <f t="shared" si="0"/>
        <v>0</v>
      </c>
      <c r="G229" s="562">
        <f t="shared" si="0"/>
        <v>2172100</v>
      </c>
      <c r="H229" s="562">
        <f t="shared" si="0"/>
        <v>4762100</v>
      </c>
    </row>
    <row r="230" spans="1:8">
      <c r="C230" s="64"/>
      <c r="D230" s="64"/>
      <c r="E230" s="64"/>
      <c r="F230" s="64"/>
      <c r="G230" s="64"/>
      <c r="H230" s="64"/>
    </row>
    <row r="231" spans="1:8">
      <c r="A231" s="63" t="s">
        <v>1589</v>
      </c>
      <c r="H231"/>
    </row>
    <row r="232" spans="1:8">
      <c r="A232" s="63" t="s">
        <v>1590</v>
      </c>
      <c r="H232"/>
    </row>
    <row r="233" spans="1:8">
      <c r="B233" s="63" t="s">
        <v>1591</v>
      </c>
      <c r="H233"/>
    </row>
    <row r="234" spans="1:8">
      <c r="B234" s="63" t="s">
        <v>1592</v>
      </c>
      <c r="H234"/>
    </row>
    <row r="235" spans="1:8">
      <c r="B235" s="63" t="s">
        <v>1593</v>
      </c>
      <c r="H235"/>
    </row>
    <row r="236" spans="1:8">
      <c r="B236" s="63" t="s">
        <v>1594</v>
      </c>
      <c r="H236"/>
    </row>
    <row r="237" spans="1:8">
      <c r="B237" s="63" t="s">
        <v>1595</v>
      </c>
      <c r="H237"/>
    </row>
    <row r="238" spans="1:8">
      <c r="H238"/>
    </row>
    <row r="239" spans="1:8">
      <c r="A239" s="63" t="s">
        <v>1598</v>
      </c>
      <c r="H239"/>
    </row>
    <row r="240" spans="1:8">
      <c r="B240" s="63" t="s">
        <v>1599</v>
      </c>
      <c r="H240"/>
    </row>
    <row r="241" spans="1:8">
      <c r="B241" s="63" t="s">
        <v>1600</v>
      </c>
      <c r="H241"/>
    </row>
    <row r="242" spans="1:8">
      <c r="B242" s="63" t="s">
        <v>1601</v>
      </c>
      <c r="H242"/>
    </row>
    <row r="243" spans="1:8">
      <c r="B243" s="63" t="s">
        <v>1602</v>
      </c>
      <c r="H243"/>
    </row>
    <row r="244" spans="1:8">
      <c r="B244" s="63" t="s">
        <v>1603</v>
      </c>
      <c r="H244"/>
    </row>
    <row r="245" spans="1:8">
      <c r="B245" s="63" t="s">
        <v>1604</v>
      </c>
      <c r="H245"/>
    </row>
    <row r="246" spans="1:8">
      <c r="H246"/>
    </row>
    <row r="247" spans="1:8">
      <c r="A247" s="63" t="s">
        <v>1608</v>
      </c>
      <c r="H247"/>
    </row>
    <row r="248" spans="1:8">
      <c r="B248" s="63" t="s">
        <v>1609</v>
      </c>
      <c r="H248"/>
    </row>
    <row r="249" spans="1:8">
      <c r="B249" s="63" t="s">
        <v>1610</v>
      </c>
      <c r="H249"/>
    </row>
    <row r="250" spans="1:8">
      <c r="B250" s="63" t="s">
        <v>1611</v>
      </c>
      <c r="H250"/>
    </row>
    <row r="251" spans="1:8">
      <c r="B251" s="63" t="s">
        <v>1612</v>
      </c>
      <c r="H251"/>
    </row>
    <row r="252" spans="1:8">
      <c r="B252" s="63" t="s">
        <v>1613</v>
      </c>
      <c r="H252"/>
    </row>
    <row r="253" spans="1:8">
      <c r="H253"/>
    </row>
    <row r="254" spans="1:8">
      <c r="A254" s="63" t="s">
        <v>1615</v>
      </c>
      <c r="H254"/>
    </row>
    <row r="255" spans="1:8">
      <c r="B255" s="63" t="s">
        <v>1616</v>
      </c>
      <c r="H255"/>
    </row>
    <row r="256" spans="1:8">
      <c r="B256" s="63" t="s">
        <v>1617</v>
      </c>
      <c r="H256"/>
    </row>
    <row r="257" spans="1:8">
      <c r="B257" s="63" t="s">
        <v>1618</v>
      </c>
      <c r="H257"/>
    </row>
    <row r="258" spans="1:8">
      <c r="B258" s="63" t="s">
        <v>1619</v>
      </c>
      <c r="H258"/>
    </row>
    <row r="259" spans="1:8">
      <c r="H259"/>
    </row>
    <row r="260" spans="1:8">
      <c r="A260" s="63" t="s">
        <v>1620</v>
      </c>
      <c r="H260"/>
    </row>
    <row r="261" spans="1:8">
      <c r="B261" s="63" t="s">
        <v>1623</v>
      </c>
      <c r="H261"/>
    </row>
    <row r="262" spans="1:8">
      <c r="B262" s="63" t="s">
        <v>1621</v>
      </c>
      <c r="H262"/>
    </row>
    <row r="263" spans="1:8">
      <c r="B263" s="63" t="s">
        <v>1622</v>
      </c>
      <c r="H263"/>
    </row>
    <row r="264" spans="1:8">
      <c r="B264" s="63" t="s">
        <v>1624</v>
      </c>
      <c r="H264"/>
    </row>
    <row r="265" spans="1:8">
      <c r="B265" s="63" t="s">
        <v>1625</v>
      </c>
      <c r="H265"/>
    </row>
    <row r="266" spans="1:8">
      <c r="B266" s="63" t="s">
        <v>1628</v>
      </c>
      <c r="H266"/>
    </row>
    <row r="267" spans="1:8">
      <c r="B267" s="63" t="s">
        <v>1626</v>
      </c>
      <c r="H267"/>
    </row>
    <row r="268" spans="1:8">
      <c r="B268" s="63" t="s">
        <v>1627</v>
      </c>
      <c r="H268"/>
    </row>
    <row r="269" spans="1:8">
      <c r="H269"/>
    </row>
    <row r="270" spans="1:8">
      <c r="A270" s="63" t="s">
        <v>259</v>
      </c>
      <c r="H270"/>
    </row>
    <row r="271" spans="1:8">
      <c r="B271" s="63" t="s">
        <v>1629</v>
      </c>
      <c r="H271"/>
    </row>
    <row r="272" spans="1:8">
      <c r="B272" s="63" t="s">
        <v>1630</v>
      </c>
      <c r="H272"/>
    </row>
    <row r="273" spans="1:8">
      <c r="H273"/>
    </row>
    <row r="274" spans="1:8">
      <c r="A274" s="63" t="s">
        <v>1632</v>
      </c>
      <c r="H274"/>
    </row>
    <row r="275" spans="1:8">
      <c r="B275" s="63" t="s">
        <v>1633</v>
      </c>
      <c r="H275"/>
    </row>
    <row r="276" spans="1:8">
      <c r="B276" s="63" t="s">
        <v>1634</v>
      </c>
      <c r="H276"/>
    </row>
    <row r="277" spans="1:8">
      <c r="B277" s="63" t="s">
        <v>1635</v>
      </c>
      <c r="H277"/>
    </row>
    <row r="278" spans="1:8">
      <c r="B278" s="63" t="s">
        <v>1636</v>
      </c>
      <c r="H278"/>
    </row>
    <row r="279" spans="1:8">
      <c r="H279"/>
    </row>
    <row r="280" spans="1:8">
      <c r="A280" s="63" t="s">
        <v>1638</v>
      </c>
      <c r="H280"/>
    </row>
    <row r="281" spans="1:8">
      <c r="B281" s="63" t="s">
        <v>1639</v>
      </c>
      <c r="H281"/>
    </row>
    <row r="282" spans="1:8">
      <c r="B282" s="63" t="s">
        <v>1640</v>
      </c>
      <c r="H282"/>
    </row>
    <row r="283" spans="1:8">
      <c r="B283" s="63" t="s">
        <v>1641</v>
      </c>
      <c r="H283"/>
    </row>
    <row r="284" spans="1:8">
      <c r="B284" s="63" t="s">
        <v>1642</v>
      </c>
      <c r="H284"/>
    </row>
    <row r="285" spans="1:8">
      <c r="B285" s="63" t="s">
        <v>1643</v>
      </c>
      <c r="H285"/>
    </row>
    <row r="286" spans="1:8">
      <c r="B286" s="63" t="s">
        <v>1644</v>
      </c>
      <c r="H286"/>
    </row>
    <row r="287" spans="1:8">
      <c r="B287" s="63" t="s">
        <v>1645</v>
      </c>
      <c r="H287"/>
    </row>
    <row r="288" spans="1:8">
      <c r="B288" s="63" t="s">
        <v>1646</v>
      </c>
      <c r="H288"/>
    </row>
    <row r="289" spans="1:9">
      <c r="H289"/>
    </row>
    <row r="290" spans="1:9" s="2" customFormat="1">
      <c r="A290" s="640" t="s">
        <v>2250</v>
      </c>
      <c r="B290" s="640"/>
      <c r="C290" s="640"/>
      <c r="D290" s="640"/>
      <c r="E290" s="640"/>
      <c r="F290" s="640"/>
      <c r="G290" s="640"/>
      <c r="H290" s="640"/>
    </row>
    <row r="291" spans="1:9" s="2" customFormat="1"/>
    <row r="292" spans="1:9" s="2" customFormat="1">
      <c r="A292" s="2" t="s">
        <v>2107</v>
      </c>
    </row>
    <row r="293" spans="1:9" s="2" customFormat="1"/>
    <row r="294" spans="1:9" s="2" customFormat="1">
      <c r="B294" s="89" t="s">
        <v>1516</v>
      </c>
      <c r="C294" s="89"/>
      <c r="D294" s="89"/>
      <c r="E294" s="89" t="s">
        <v>2108</v>
      </c>
      <c r="F294" s="89" t="s">
        <v>2109</v>
      </c>
      <c r="H294" s="641"/>
    </row>
    <row r="295" spans="1:9" s="2" customFormat="1">
      <c r="B295" s="2" t="s">
        <v>2110</v>
      </c>
      <c r="E295" s="98">
        <v>3000000</v>
      </c>
      <c r="F295" s="98">
        <v>300000</v>
      </c>
      <c r="H295" s="641"/>
    </row>
    <row r="296" spans="1:9" s="2" customFormat="1">
      <c r="B296" s="2" t="s">
        <v>2111</v>
      </c>
      <c r="E296" s="98">
        <v>5000000</v>
      </c>
      <c r="F296" s="98">
        <v>600000</v>
      </c>
      <c r="H296" s="641"/>
    </row>
    <row r="297" spans="1:9" s="2" customFormat="1">
      <c r="B297" s="2" t="s">
        <v>2112</v>
      </c>
      <c r="E297" s="98"/>
      <c r="F297" s="98">
        <v>50000</v>
      </c>
      <c r="H297" s="641"/>
    </row>
    <row r="298" spans="1:9" s="2" customFormat="1">
      <c r="B298" s="2" t="s">
        <v>2113</v>
      </c>
      <c r="E298" s="98"/>
      <c r="F298" s="98">
        <v>400000</v>
      </c>
      <c r="H298" s="641"/>
    </row>
    <row r="299" spans="1:9" s="2" customFormat="1">
      <c r="B299" s="2" t="s">
        <v>2114</v>
      </c>
      <c r="E299" s="98"/>
      <c r="F299" s="98">
        <v>300000</v>
      </c>
      <c r="H299" s="641"/>
    </row>
    <row r="300" spans="1:9" s="2" customFormat="1">
      <c r="B300" s="2" t="s">
        <v>1501</v>
      </c>
      <c r="E300" s="98"/>
      <c r="F300" s="98">
        <v>2000000</v>
      </c>
    </row>
    <row r="301" spans="1:9" s="2" customFormat="1">
      <c r="E301" s="98"/>
      <c r="F301" s="642">
        <f>SUM(F295:F300)</f>
        <v>3650000</v>
      </c>
    </row>
    <row r="302" spans="1:9" s="2" customFormat="1"/>
    <row r="303" spans="1:9" s="2" customFormat="1">
      <c r="I303" s="2" t="s">
        <v>2115</v>
      </c>
    </row>
    <row r="304" spans="1:9" s="2" customFormat="1"/>
    <row r="305" spans="1:18" s="2" customFormat="1">
      <c r="K305" s="34" t="s">
        <v>197</v>
      </c>
      <c r="L305" s="34" t="s">
        <v>197</v>
      </c>
      <c r="M305" s="34" t="s">
        <v>197</v>
      </c>
      <c r="N305" s="34"/>
      <c r="O305" s="34"/>
      <c r="P305" s="34"/>
      <c r="Q305" s="42"/>
      <c r="R305" s="34"/>
    </row>
    <row r="306" spans="1:18" s="2" customFormat="1">
      <c r="K306" s="34" t="s">
        <v>1580</v>
      </c>
      <c r="L306" s="34" t="s">
        <v>1580</v>
      </c>
      <c r="M306" s="34" t="s">
        <v>2116</v>
      </c>
      <c r="N306" s="34"/>
      <c r="O306" s="34"/>
      <c r="P306" s="34"/>
      <c r="Q306" s="42"/>
      <c r="R306" s="34"/>
    </row>
    <row r="307" spans="1:18" s="2" customFormat="1">
      <c r="A307" s="4" t="s">
        <v>1691</v>
      </c>
      <c r="K307" s="34" t="s">
        <v>1576</v>
      </c>
      <c r="L307" s="34" t="s">
        <v>2117</v>
      </c>
      <c r="M307" s="34" t="s">
        <v>2118</v>
      </c>
      <c r="N307" s="34" t="s">
        <v>2119</v>
      </c>
      <c r="O307" s="34" t="s">
        <v>2120</v>
      </c>
      <c r="P307" s="34" t="s">
        <v>1501</v>
      </c>
      <c r="Q307" s="42" t="s">
        <v>2121</v>
      </c>
      <c r="R307" s="34"/>
    </row>
    <row r="308" spans="1:18" s="2" customFormat="1">
      <c r="A308" s="2" t="s">
        <v>2122</v>
      </c>
      <c r="E308" s="646" t="s">
        <v>2123</v>
      </c>
      <c r="I308" s="89" t="s">
        <v>2124</v>
      </c>
      <c r="J308" s="89" t="s">
        <v>1827</v>
      </c>
      <c r="K308" s="90" t="s">
        <v>2125</v>
      </c>
      <c r="L308" s="90" t="s">
        <v>2125</v>
      </c>
      <c r="M308" s="643">
        <v>0.1</v>
      </c>
      <c r="N308" s="90" t="s">
        <v>2126</v>
      </c>
      <c r="O308" s="90" t="s">
        <v>1497</v>
      </c>
      <c r="P308" s="90" t="s">
        <v>500</v>
      </c>
      <c r="Q308" s="168" t="s">
        <v>2127</v>
      </c>
      <c r="R308" s="90" t="s">
        <v>436</v>
      </c>
    </row>
    <row r="309" spans="1:18" s="2" customFormat="1">
      <c r="A309" s="2" t="s">
        <v>2128</v>
      </c>
      <c r="E309" s="646" t="s">
        <v>2129</v>
      </c>
      <c r="I309" s="39" t="s">
        <v>960</v>
      </c>
      <c r="J309" s="39" t="s">
        <v>1586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2130</v>
      </c>
      <c r="E310" s="646" t="s">
        <v>2251</v>
      </c>
      <c r="I310" s="39" t="s">
        <v>1992</v>
      </c>
      <c r="J310" s="39" t="s">
        <v>1588</v>
      </c>
      <c r="K310" s="167">
        <f>200000*1</f>
        <v>200000</v>
      </c>
      <c r="L310" s="476"/>
      <c r="M310" s="476"/>
      <c r="N310" s="167">
        <f>R310-K310</f>
        <v>650000</v>
      </c>
      <c r="O310" s="476"/>
      <c r="P310" s="476"/>
      <c r="Q310" s="476"/>
      <c r="R310" s="167">
        <f>200000*5*(1-15%)</f>
        <v>850000</v>
      </c>
    </row>
    <row r="311" spans="1:18" s="2" customFormat="1">
      <c r="A311" s="2" t="s">
        <v>2131</v>
      </c>
      <c r="I311" s="39" t="s">
        <v>2132</v>
      </c>
      <c r="J311" s="39" t="s">
        <v>1597</v>
      </c>
      <c r="K311" s="167">
        <f>(300000+200000)*30%</f>
        <v>150000</v>
      </c>
      <c r="L311" s="167">
        <f>L309*30%</f>
        <v>180000</v>
      </c>
      <c r="M311" s="645"/>
      <c r="N311" s="167">
        <f>0-(150000+180000)</f>
        <v>-330000</v>
      </c>
      <c r="O311" s="645"/>
      <c r="P311" s="645"/>
      <c r="Q311" s="645"/>
      <c r="R311" s="167">
        <v>0</v>
      </c>
    </row>
    <row r="312" spans="1:18" s="2" customFormat="1">
      <c r="A312" s="2" t="s">
        <v>2133</v>
      </c>
      <c r="I312" s="39" t="s">
        <v>2134</v>
      </c>
      <c r="J312" s="39" t="s">
        <v>2135</v>
      </c>
      <c r="K312" s="167">
        <f>20%*(300000+200000+150000)</f>
        <v>130000</v>
      </c>
      <c r="L312" s="476"/>
      <c r="M312" s="476"/>
      <c r="N312" s="167">
        <f>R312-K312</f>
        <v>-130000</v>
      </c>
      <c r="O312" s="476"/>
      <c r="P312" s="476"/>
      <c r="Q312" s="476"/>
      <c r="R312" s="167">
        <v>0</v>
      </c>
    </row>
    <row r="313" spans="1:18" s="2" customFormat="1">
      <c r="A313" s="2" t="s">
        <v>2136</v>
      </c>
      <c r="I313" s="39" t="s">
        <v>2137</v>
      </c>
      <c r="J313" s="39" t="s">
        <v>1607</v>
      </c>
      <c r="K313" s="167">
        <f>-L313</f>
        <v>780000</v>
      </c>
      <c r="L313" s="167">
        <f>-L311-L309</f>
        <v>-780000</v>
      </c>
      <c r="M313" s="476"/>
      <c r="N313" s="476"/>
      <c r="O313" s="476"/>
      <c r="P313" s="476"/>
      <c r="Q313" s="476"/>
      <c r="R313" s="167">
        <v>0</v>
      </c>
    </row>
    <row r="314" spans="1:18" s="2" customFormat="1">
      <c r="A314" s="2" t="s">
        <v>2138</v>
      </c>
      <c r="I314" s="39" t="s">
        <v>2139</v>
      </c>
      <c r="J314" s="39" t="s">
        <v>2140</v>
      </c>
      <c r="K314" s="476"/>
      <c r="L314" s="476"/>
      <c r="M314" s="476"/>
      <c r="N314" s="476"/>
      <c r="O314" s="476"/>
      <c r="P314" s="476"/>
      <c r="Q314" s="167">
        <f>100000*1.5</f>
        <v>150000</v>
      </c>
      <c r="R314" s="167">
        <f>Q314</f>
        <v>150000</v>
      </c>
    </row>
    <row r="315" spans="1:18" s="2" customFormat="1">
      <c r="A315" s="2" t="s">
        <v>2141</v>
      </c>
      <c r="I315" s="39" t="s">
        <v>2142</v>
      </c>
      <c r="J315" s="39" t="s">
        <v>2143</v>
      </c>
      <c r="K315" s="167">
        <f>80000*1/4*1</f>
        <v>20000</v>
      </c>
      <c r="L315" s="645"/>
      <c r="M315" s="645"/>
      <c r="N315" s="167">
        <f>R315-K315-Q315</f>
        <v>260000</v>
      </c>
      <c r="O315" s="645"/>
      <c r="P315" s="645"/>
      <c r="Q315" s="167">
        <f>-1.5*80000</f>
        <v>-120000</v>
      </c>
      <c r="R315" s="167">
        <f>80000*2</f>
        <v>160000</v>
      </c>
    </row>
    <row r="316" spans="1:18" s="2" customFormat="1">
      <c r="A316" s="2" t="s">
        <v>2144</v>
      </c>
      <c r="I316" s="39" t="s">
        <v>2145</v>
      </c>
      <c r="J316" s="39" t="s">
        <v>2146</v>
      </c>
      <c r="K316" s="476"/>
      <c r="L316" s="476"/>
      <c r="M316" s="476"/>
      <c r="N316" s="167">
        <f>-Q316</f>
        <v>30000</v>
      </c>
      <c r="O316" s="645"/>
      <c r="P316" s="645"/>
      <c r="Q316" s="167">
        <f>-30000</f>
        <v>-30000</v>
      </c>
      <c r="R316" s="167">
        <v>0</v>
      </c>
    </row>
    <row r="317" spans="1:18" s="2" customFormat="1">
      <c r="A317" s="2" t="s">
        <v>2147</v>
      </c>
      <c r="I317" s="39" t="s">
        <v>2148</v>
      </c>
      <c r="J317" s="39" t="s">
        <v>467</v>
      </c>
      <c r="K317" s="476"/>
      <c r="L317" s="476"/>
      <c r="M317" s="476"/>
      <c r="N317" s="476"/>
      <c r="O317" s="476"/>
      <c r="P317" s="631">
        <v>1500000</v>
      </c>
      <c r="Q317" s="42"/>
      <c r="R317" s="167">
        <f>P317</f>
        <v>1500000</v>
      </c>
    </row>
    <row r="318" spans="1:18" s="2" customFormat="1">
      <c r="A318" s="2" t="s">
        <v>2149</v>
      </c>
      <c r="I318" s="39" t="s">
        <v>2150</v>
      </c>
      <c r="J318" s="39" t="s">
        <v>123</v>
      </c>
      <c r="K318" s="42"/>
      <c r="L318" s="42"/>
      <c r="M318" s="42"/>
      <c r="N318" s="42"/>
      <c r="O318" s="42"/>
      <c r="P318" s="472">
        <f>-Q330</f>
        <v>-183000</v>
      </c>
      <c r="Q318" s="42"/>
      <c r="R318" s="167">
        <f>P318</f>
        <v>-183000</v>
      </c>
    </row>
    <row r="319" spans="1:18" s="2" customFormat="1">
      <c r="A319" s="2" t="s">
        <v>2151</v>
      </c>
      <c r="I319" s="39" t="s">
        <v>2152</v>
      </c>
      <c r="J319" s="39" t="s">
        <v>2153</v>
      </c>
      <c r="K319" s="42"/>
      <c r="L319" s="42"/>
      <c r="M319" s="42"/>
      <c r="N319" s="42"/>
      <c r="O319" s="167">
        <f>-45000</f>
        <v>-45000</v>
      </c>
      <c r="P319" s="167">
        <f>-O319</f>
        <v>45000</v>
      </c>
      <c r="Q319" s="645"/>
      <c r="R319" s="167">
        <v>0</v>
      </c>
    </row>
    <row r="320" spans="1:18" s="2" customFormat="1">
      <c r="A320" s="2" t="s">
        <v>2154</v>
      </c>
      <c r="I320" s="39" t="s">
        <v>436</v>
      </c>
      <c r="J320" s="39"/>
      <c r="K320" s="474">
        <f t="shared" ref="K320:R320" si="1">SUM(K309:K319)</f>
        <v>1580000</v>
      </c>
      <c r="L320" s="474">
        <f t="shared" si="1"/>
        <v>0</v>
      </c>
      <c r="M320" s="474">
        <f t="shared" si="1"/>
        <v>50000</v>
      </c>
      <c r="N320" s="474">
        <f t="shared" si="1"/>
        <v>880000</v>
      </c>
      <c r="O320" s="474">
        <f t="shared" si="1"/>
        <v>255000</v>
      </c>
      <c r="P320" s="474">
        <f t="shared" si="1"/>
        <v>3362000</v>
      </c>
      <c r="Q320" s="474">
        <f t="shared" si="1"/>
        <v>0</v>
      </c>
      <c r="R320" s="474">
        <f t="shared" si="1"/>
        <v>6127000</v>
      </c>
    </row>
    <row r="321" spans="1:17" s="2" customFormat="1">
      <c r="A321" s="2" t="s">
        <v>2155</v>
      </c>
    </row>
    <row r="322" spans="1:17" s="2" customFormat="1">
      <c r="A322" s="2" t="s">
        <v>2156</v>
      </c>
      <c r="K322" s="2" t="s">
        <v>2157</v>
      </c>
    </row>
    <row r="323" spans="1:17" s="2" customFormat="1">
      <c r="A323" s="2" t="s">
        <v>2158</v>
      </c>
      <c r="K323" s="2" t="s">
        <v>2159</v>
      </c>
    </row>
    <row r="324" spans="1:17" s="2" customFormat="1">
      <c r="A324" s="2" t="s">
        <v>2160</v>
      </c>
      <c r="K324" s="2" t="s">
        <v>2161</v>
      </c>
    </row>
    <row r="325" spans="1:17" s="2" customFormat="1">
      <c r="L325" s="733" t="s">
        <v>2162</v>
      </c>
      <c r="M325" s="733"/>
      <c r="N325" s="733"/>
      <c r="O325" s="733"/>
      <c r="P325" s="733"/>
      <c r="Q325" s="733"/>
    </row>
    <row r="326" spans="1:17" s="2" customFormat="1">
      <c r="A326" s="2" t="s">
        <v>2163</v>
      </c>
      <c r="L326" s="89" t="s">
        <v>2164</v>
      </c>
      <c r="M326" s="89" t="s">
        <v>1827</v>
      </c>
      <c r="N326" s="89"/>
      <c r="O326" s="90" t="s">
        <v>2165</v>
      </c>
      <c r="P326" s="90" t="s">
        <v>2126</v>
      </c>
      <c r="Q326" s="90" t="s">
        <v>436</v>
      </c>
    </row>
    <row r="327" spans="1:17" s="2" customFormat="1">
      <c r="L327" s="2">
        <v>1</v>
      </c>
      <c r="M327" s="2" t="s">
        <v>2166</v>
      </c>
      <c r="O327" s="631">
        <f>N339</f>
        <v>20000</v>
      </c>
      <c r="P327" s="647"/>
      <c r="Q327" s="631">
        <f>O327</f>
        <v>20000</v>
      </c>
    </row>
    <row r="328" spans="1:17" s="2" customFormat="1">
      <c r="L328" s="2">
        <v>2</v>
      </c>
      <c r="M328" s="2" t="s">
        <v>2167</v>
      </c>
      <c r="O328" s="631">
        <f>N345</f>
        <v>5000</v>
      </c>
      <c r="P328" s="647"/>
      <c r="Q328" s="631">
        <f>O328</f>
        <v>5000</v>
      </c>
    </row>
    <row r="329" spans="1:17" s="2" customFormat="1">
      <c r="L329" s="2">
        <v>3</v>
      </c>
      <c r="M329" s="2" t="s">
        <v>2168</v>
      </c>
      <c r="O329" s="647"/>
      <c r="P329" s="631">
        <f>N351</f>
        <v>158000</v>
      </c>
      <c r="Q329" s="631">
        <f>P329</f>
        <v>158000</v>
      </c>
    </row>
    <row r="330" spans="1:17" s="2" customFormat="1">
      <c r="A330" s="4" t="s">
        <v>2169</v>
      </c>
      <c r="M330" s="2" t="s">
        <v>436</v>
      </c>
      <c r="O330" s="474">
        <f>SUM(O327:O329)</f>
        <v>25000</v>
      </c>
      <c r="P330" s="474">
        <f>SUM(P327:P329)</f>
        <v>158000</v>
      </c>
      <c r="Q330" s="475">
        <f>SUM(Q327:Q329)</f>
        <v>183000</v>
      </c>
    </row>
    <row r="331" spans="1:17" s="2" customFormat="1">
      <c r="A331" s="2" t="s">
        <v>1283</v>
      </c>
      <c r="B331" s="2" t="s">
        <v>2170</v>
      </c>
    </row>
    <row r="332" spans="1:17" s="2" customFormat="1">
      <c r="A332" s="2" t="s">
        <v>2171</v>
      </c>
      <c r="B332" s="2" t="s">
        <v>2172</v>
      </c>
      <c r="K332" s="34">
        <v>1</v>
      </c>
      <c r="L332" s="2" t="s">
        <v>2173</v>
      </c>
    </row>
    <row r="333" spans="1:17" s="2" customFormat="1">
      <c r="A333" s="2" t="s">
        <v>1992</v>
      </c>
      <c r="B333" s="2" t="s">
        <v>2174</v>
      </c>
      <c r="L333" s="2" t="s">
        <v>2175</v>
      </c>
    </row>
    <row r="334" spans="1:17" s="2" customFormat="1">
      <c r="C334" s="2" t="s">
        <v>2176</v>
      </c>
      <c r="L334" s="2" t="s">
        <v>2177</v>
      </c>
    </row>
    <row r="335" spans="1:17" s="2" customFormat="1">
      <c r="C335" s="2" t="s">
        <v>2178</v>
      </c>
      <c r="L335" s="2" t="s">
        <v>2179</v>
      </c>
    </row>
    <row r="336" spans="1:17" s="2" customFormat="1">
      <c r="C336" s="2" t="s">
        <v>2180</v>
      </c>
      <c r="L336" s="2" t="s">
        <v>2181</v>
      </c>
    </row>
    <row r="337" spans="1:16" s="2" customFormat="1">
      <c r="A337" s="2" t="s">
        <v>2132</v>
      </c>
      <c r="B337" s="2" t="s">
        <v>2182</v>
      </c>
      <c r="L337" s="2" t="s">
        <v>2183</v>
      </c>
    </row>
    <row r="338" spans="1:16" s="2" customFormat="1">
      <c r="C338" s="2" t="s">
        <v>2184</v>
      </c>
      <c r="L338" s="2" t="s">
        <v>2185</v>
      </c>
    </row>
    <row r="339" spans="1:16" s="2" customFormat="1">
      <c r="C339" s="2" t="s">
        <v>2186</v>
      </c>
      <c r="N339" s="58">
        <v>20000</v>
      </c>
      <c r="P339" s="2" t="s">
        <v>2187</v>
      </c>
    </row>
    <row r="340" spans="1:16" s="2" customFormat="1">
      <c r="C340" s="2" t="s">
        <v>2188</v>
      </c>
      <c r="L340" s="2" t="s">
        <v>2189</v>
      </c>
    </row>
    <row r="341" spans="1:16" s="2" customFormat="1">
      <c r="A341" s="2" t="s">
        <v>2134</v>
      </c>
      <c r="B341" s="2" t="s">
        <v>2190</v>
      </c>
      <c r="C341" s="2" t="s">
        <v>2191</v>
      </c>
      <c r="L341" s="2" t="s">
        <v>2192</v>
      </c>
    </row>
    <row r="342" spans="1:16" s="2" customFormat="1">
      <c r="C342" s="2" t="s">
        <v>2193</v>
      </c>
    </row>
    <row r="343" spans="1:16" s="2" customFormat="1">
      <c r="C343" s="2" t="s">
        <v>2194</v>
      </c>
      <c r="K343" s="34">
        <v>2</v>
      </c>
      <c r="L343" s="2" t="s">
        <v>2195</v>
      </c>
    </row>
    <row r="344" spans="1:16" s="2" customFormat="1">
      <c r="C344" s="2" t="s">
        <v>2196</v>
      </c>
      <c r="L344" s="2" t="s">
        <v>2197</v>
      </c>
    </row>
    <row r="345" spans="1:16" s="2" customFormat="1">
      <c r="C345" s="2" t="s">
        <v>2198</v>
      </c>
      <c r="N345" s="58">
        <f>50000*10%</f>
        <v>5000</v>
      </c>
      <c r="P345" s="2" t="s">
        <v>2199</v>
      </c>
    </row>
    <row r="346" spans="1:16" s="2" customFormat="1">
      <c r="A346" s="2" t="s">
        <v>2137</v>
      </c>
      <c r="B346" s="2" t="s">
        <v>2200</v>
      </c>
      <c r="C346" s="2" t="s">
        <v>2201</v>
      </c>
    </row>
    <row r="347" spans="1:16" s="2" customFormat="1">
      <c r="C347" s="2" t="s">
        <v>2202</v>
      </c>
      <c r="K347" s="34">
        <v>3</v>
      </c>
      <c r="L347" s="2" t="s">
        <v>2203</v>
      </c>
    </row>
    <row r="348" spans="1:16" s="2" customFormat="1">
      <c r="C348" s="2" t="s">
        <v>2204</v>
      </c>
      <c r="L348" s="2" t="s">
        <v>2205</v>
      </c>
    </row>
    <row r="349" spans="1:16" s="2" customFormat="1">
      <c r="A349" s="2" t="s">
        <v>2139</v>
      </c>
      <c r="B349" s="2" t="s">
        <v>2206</v>
      </c>
      <c r="C349" s="2" t="s">
        <v>2207</v>
      </c>
      <c r="L349" s="2" t="s">
        <v>2208</v>
      </c>
    </row>
    <row r="350" spans="1:16" s="2" customFormat="1">
      <c r="C350" s="2" t="s">
        <v>2209</v>
      </c>
      <c r="L350" s="2" t="s">
        <v>2210</v>
      </c>
    </row>
    <row r="351" spans="1:16" s="2" customFormat="1" ht="17" thickBot="1">
      <c r="A351" s="2" t="s">
        <v>2142</v>
      </c>
      <c r="B351" s="2" t="s">
        <v>2211</v>
      </c>
      <c r="N351" s="58">
        <f>K320*10%</f>
        <v>158000</v>
      </c>
      <c r="P351" s="2" t="s">
        <v>2212</v>
      </c>
    </row>
    <row r="352" spans="1:16" s="2" customFormat="1">
      <c r="D352" s="34" t="s">
        <v>197</v>
      </c>
      <c r="E352" s="34" t="s">
        <v>540</v>
      </c>
      <c r="F352" s="34" t="s">
        <v>2213</v>
      </c>
      <c r="G352" s="34" t="s">
        <v>2214</v>
      </c>
      <c r="I352" s="122" t="s">
        <v>2252</v>
      </c>
      <c r="J352" s="99"/>
      <c r="K352" s="99"/>
      <c r="L352" s="100"/>
    </row>
    <row r="353" spans="4:12" s="2" customFormat="1">
      <c r="D353" s="34" t="s">
        <v>88</v>
      </c>
      <c r="E353" s="34" t="s">
        <v>88</v>
      </c>
      <c r="F353" s="34" t="s">
        <v>89</v>
      </c>
      <c r="G353" s="34" t="s">
        <v>88</v>
      </c>
      <c r="I353" s="123" t="s">
        <v>2253</v>
      </c>
      <c r="L353" s="124"/>
    </row>
    <row r="354" spans="4:12" s="2" customFormat="1">
      <c r="I354" s="123" t="s">
        <v>2254</v>
      </c>
      <c r="L354" s="124"/>
    </row>
    <row r="355" spans="4:12" s="2" customFormat="1">
      <c r="D355" s="644" t="s">
        <v>2215</v>
      </c>
      <c r="G355" s="644" t="s">
        <v>2216</v>
      </c>
      <c r="I355" s="123" t="s">
        <v>2255</v>
      </c>
      <c r="L355" s="124"/>
    </row>
    <row r="356" spans="4:12" s="2" customFormat="1" ht="17" thickBot="1">
      <c r="D356" s="34" t="s">
        <v>2217</v>
      </c>
      <c r="G356" s="34" t="s">
        <v>2218</v>
      </c>
      <c r="I356" s="125" t="s">
        <v>2256</v>
      </c>
      <c r="J356" s="126"/>
      <c r="K356" s="126"/>
      <c r="L356" s="127"/>
    </row>
    <row r="357" spans="4:12" s="2" customFormat="1" ht="17" thickBot="1">
      <c r="D357" s="34" t="s">
        <v>2219</v>
      </c>
      <c r="G357" s="34" t="s">
        <v>2220</v>
      </c>
    </row>
    <row r="358" spans="4:12" s="2" customFormat="1">
      <c r="D358" s="34" t="s">
        <v>2221</v>
      </c>
      <c r="G358" s="34" t="s">
        <v>2222</v>
      </c>
      <c r="I358" s="122" t="s">
        <v>2257</v>
      </c>
      <c r="J358" s="99"/>
      <c r="K358" s="99"/>
      <c r="L358" s="100"/>
    </row>
    <row r="359" spans="4:12" s="2" customFormat="1" ht="17" thickBot="1">
      <c r="D359" s="34"/>
      <c r="G359" s="34"/>
      <c r="I359" s="125" t="s">
        <v>2258</v>
      </c>
      <c r="J359" s="126"/>
      <c r="K359" s="126"/>
      <c r="L359" s="127"/>
    </row>
    <row r="360" spans="4:12" s="2" customFormat="1">
      <c r="D360" s="34" t="s">
        <v>2223</v>
      </c>
      <c r="G360" s="34" t="s">
        <v>2224</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644" t="s">
        <v>2225</v>
      </c>
    </row>
    <row r="366" spans="4:12" s="2" customFormat="1">
      <c r="F366" s="34" t="s">
        <v>2226</v>
      </c>
    </row>
    <row r="367" spans="4:12" s="2" customFormat="1">
      <c r="F367" s="34" t="s">
        <v>2217</v>
      </c>
    </row>
    <row r="368" spans="4:12" s="2" customFormat="1">
      <c r="F368" s="34" t="s">
        <v>2227</v>
      </c>
    </row>
    <row r="369" spans="1:6" s="2" customFormat="1">
      <c r="F369" s="34" t="s">
        <v>2228</v>
      </c>
    </row>
    <row r="370" spans="1:6" s="2" customFormat="1">
      <c r="F370" s="2" t="s">
        <v>2229</v>
      </c>
    </row>
    <row r="371" spans="1:6" s="2" customFormat="1">
      <c r="F371" s="34" t="s">
        <v>91</v>
      </c>
    </row>
    <row r="372" spans="1:6" s="2" customFormat="1">
      <c r="F372" s="49">
        <v>-120000</v>
      </c>
    </row>
    <row r="373" spans="1:6" s="2" customFormat="1"/>
    <row r="374" spans="1:6" s="2" customFormat="1"/>
    <row r="375" spans="1:6" s="2" customFormat="1">
      <c r="E375" s="644" t="s">
        <v>2230</v>
      </c>
    </row>
    <row r="376" spans="1:6" s="2" customFormat="1">
      <c r="E376" s="2" t="s">
        <v>2231</v>
      </c>
    </row>
    <row r="377" spans="1:6" s="2" customFormat="1">
      <c r="E377" s="2" t="s">
        <v>2232</v>
      </c>
    </row>
    <row r="378" spans="1:6" s="2" customFormat="1">
      <c r="E378" s="2" t="s">
        <v>2233</v>
      </c>
    </row>
    <row r="379" spans="1:6" s="2" customFormat="1">
      <c r="E379" s="2" t="s">
        <v>2234</v>
      </c>
    </row>
    <row r="380" spans="1:6" s="2" customFormat="1">
      <c r="F380" s="2" t="s">
        <v>2235</v>
      </c>
    </row>
    <row r="381" spans="1:6" s="2" customFormat="1">
      <c r="F381" s="2" t="s">
        <v>2236</v>
      </c>
    </row>
    <row r="382" spans="1:6" s="2" customFormat="1"/>
    <row r="383" spans="1:6" s="2" customFormat="1">
      <c r="A383" s="2" t="s">
        <v>2145</v>
      </c>
      <c r="B383" s="2" t="s">
        <v>2237</v>
      </c>
      <c r="C383" s="2" t="s">
        <v>2238</v>
      </c>
    </row>
    <row r="384" spans="1:6" s="2" customFormat="1">
      <c r="C384" s="2" t="s">
        <v>2239</v>
      </c>
    </row>
    <row r="385" spans="1:8" s="2" customFormat="1"/>
    <row r="386" spans="1:8" s="2" customFormat="1">
      <c r="A386" s="2" t="s">
        <v>2148</v>
      </c>
      <c r="B386" s="2" t="s">
        <v>259</v>
      </c>
      <c r="C386" s="2" t="s">
        <v>2240</v>
      </c>
    </row>
    <row r="387" spans="1:8" s="2" customFormat="1">
      <c r="C387" s="2" t="s">
        <v>2241</v>
      </c>
    </row>
    <row r="388" spans="1:8" s="2" customFormat="1"/>
    <row r="389" spans="1:8" s="2" customFormat="1">
      <c r="A389" s="2" t="s">
        <v>2152</v>
      </c>
      <c r="B389" s="2" t="s">
        <v>2153</v>
      </c>
      <c r="C389" s="2" t="s">
        <v>2242</v>
      </c>
    </row>
    <row r="390" spans="1:8" s="2" customFormat="1">
      <c r="B390" s="2" t="s">
        <v>2243</v>
      </c>
    </row>
    <row r="391" spans="1:8" s="2" customFormat="1">
      <c r="B391" s="2" t="s">
        <v>2244</v>
      </c>
    </row>
    <row r="392" spans="1:8" s="2" customFormat="1">
      <c r="B392" s="2" t="s">
        <v>2245</v>
      </c>
    </row>
    <row r="393" spans="1:8" s="2" customFormat="1"/>
    <row r="394" spans="1:8" s="2" customFormat="1">
      <c r="B394" s="2" t="s">
        <v>2246</v>
      </c>
    </row>
    <row r="395" spans="1:8" s="2" customFormat="1">
      <c r="B395" s="2" t="s">
        <v>2247</v>
      </c>
    </row>
    <row r="396" spans="1:8" s="2" customFormat="1">
      <c r="B396" s="2" t="s">
        <v>2248</v>
      </c>
    </row>
    <row r="397" spans="1:8" s="2" customFormat="1">
      <c r="B397" s="2" t="s">
        <v>2249</v>
      </c>
    </row>
    <row r="398" spans="1:8" s="2" customFormat="1"/>
    <row r="399" spans="1:8" s="2" customFormat="1">
      <c r="A399" s="640" t="s">
        <v>2259</v>
      </c>
      <c r="B399" s="640"/>
      <c r="C399" s="640"/>
      <c r="D399" s="640"/>
      <c r="E399" s="640"/>
      <c r="F399" s="640"/>
      <c r="G399" s="640"/>
      <c r="H399" s="640"/>
    </row>
    <row r="400" spans="1:8" s="2" customFormat="1"/>
    <row r="401" spans="1:5" s="2" customFormat="1">
      <c r="A401" s="2" t="s">
        <v>2260</v>
      </c>
    </row>
    <row r="402" spans="1:5" s="2" customFormat="1">
      <c r="A402" s="2" t="s">
        <v>2261</v>
      </c>
    </row>
    <row r="403" spans="1:5" s="2" customFormat="1"/>
    <row r="404" spans="1:5" s="2" customFormat="1">
      <c r="E404" s="89" t="s">
        <v>644</v>
      </c>
    </row>
    <row r="405" spans="1:5" s="2" customFormat="1">
      <c r="B405" s="2" t="s">
        <v>723</v>
      </c>
      <c r="E405" s="58">
        <v>500000</v>
      </c>
    </row>
    <row r="406" spans="1:5" s="2" customFormat="1">
      <c r="B406" s="2" t="s">
        <v>2262</v>
      </c>
      <c r="E406" s="58">
        <v>300000</v>
      </c>
    </row>
    <row r="407" spans="1:5" s="2" customFormat="1">
      <c r="B407" s="2" t="s">
        <v>2263</v>
      </c>
      <c r="E407" s="58">
        <v>50000</v>
      </c>
    </row>
    <row r="408" spans="1:5" s="2" customFormat="1">
      <c r="B408" s="2" t="s">
        <v>1501</v>
      </c>
      <c r="E408" s="58">
        <v>2000000</v>
      </c>
    </row>
    <row r="409" spans="1:5" s="2" customFormat="1"/>
    <row r="410" spans="1:5" s="2" customFormat="1">
      <c r="A410" s="2" t="s">
        <v>1691</v>
      </c>
    </row>
    <row r="411" spans="1:5" s="2" customFormat="1">
      <c r="A411" s="2" t="s">
        <v>2264</v>
      </c>
    </row>
    <row r="412" spans="1:5" s="2" customFormat="1">
      <c r="A412" s="2" t="s">
        <v>2265</v>
      </c>
    </row>
    <row r="413" spans="1:5" s="2" customFormat="1">
      <c r="A413" s="2" t="s">
        <v>2266</v>
      </c>
    </row>
    <row r="414" spans="1:5" s="2" customFormat="1">
      <c r="A414" s="2" t="s">
        <v>2267</v>
      </c>
    </row>
    <row r="415" spans="1:5" s="2" customFormat="1"/>
    <row r="416" spans="1:5" s="2" customFormat="1">
      <c r="A416" s="2" t="s">
        <v>2268</v>
      </c>
    </row>
    <row r="417" spans="1:8" s="2" customFormat="1"/>
    <row r="418" spans="1:8" s="2" customFormat="1">
      <c r="A418" s="4" t="s">
        <v>2269</v>
      </c>
    </row>
    <row r="419" spans="1:8" s="2" customFormat="1"/>
    <row r="420" spans="1:8" s="2" customFormat="1">
      <c r="A420" s="648" t="s">
        <v>2270</v>
      </c>
      <c r="B420" s="648"/>
      <c r="C420" s="648"/>
      <c r="D420" s="648"/>
      <c r="E420" s="648"/>
      <c r="F420" s="648"/>
      <c r="G420" s="648"/>
      <c r="H420" s="648"/>
    </row>
    <row r="421" spans="1:8" s="2" customFormat="1">
      <c r="A421" s="648" t="s">
        <v>2271</v>
      </c>
      <c r="B421" s="648"/>
      <c r="C421" s="648"/>
      <c r="D421" s="648"/>
      <c r="E421" s="648"/>
      <c r="F421" s="648"/>
      <c r="G421" s="648"/>
      <c r="H421" s="648"/>
    </row>
    <row r="422" spans="1:8" s="2" customFormat="1"/>
    <row r="423" spans="1:8" s="2" customFormat="1">
      <c r="D423" s="2" t="s">
        <v>1574</v>
      </c>
      <c r="E423" s="2" t="s">
        <v>1574</v>
      </c>
    </row>
    <row r="424" spans="1:8" s="2" customFormat="1">
      <c r="D424" s="2" t="s">
        <v>2116</v>
      </c>
      <c r="E424" s="2" t="s">
        <v>2116</v>
      </c>
      <c r="F424" s="2" t="s">
        <v>1574</v>
      </c>
    </row>
    <row r="425" spans="1:8" s="2" customFormat="1">
      <c r="D425" s="2" t="s">
        <v>2272</v>
      </c>
      <c r="E425" s="2" t="s">
        <v>2273</v>
      </c>
      <c r="F425" s="2" t="s">
        <v>2274</v>
      </c>
      <c r="H425" s="21" t="s">
        <v>2307</v>
      </c>
    </row>
    <row r="426" spans="1:8" s="2" customFormat="1">
      <c r="B426" s="89" t="s">
        <v>2164</v>
      </c>
      <c r="C426" s="89" t="s">
        <v>1827</v>
      </c>
      <c r="D426" s="89" t="s">
        <v>2275</v>
      </c>
      <c r="E426" s="89" t="s">
        <v>2276</v>
      </c>
      <c r="F426" s="89" t="s">
        <v>2277</v>
      </c>
      <c r="G426" s="89" t="s">
        <v>2278</v>
      </c>
      <c r="H426" s="649" t="s">
        <v>2279</v>
      </c>
    </row>
    <row r="427" spans="1:8" s="2" customFormat="1">
      <c r="B427" s="2">
        <v>0</v>
      </c>
      <c r="C427" s="2" t="s">
        <v>2280</v>
      </c>
      <c r="D427" s="91"/>
      <c r="E427" s="91"/>
      <c r="F427" s="91"/>
      <c r="G427" s="91"/>
      <c r="H427" s="225">
        <v>800000</v>
      </c>
    </row>
    <row r="428" spans="1:8" s="2" customFormat="1">
      <c r="B428" s="2">
        <v>1</v>
      </c>
      <c r="C428" s="2" t="s">
        <v>2281</v>
      </c>
      <c r="D428" s="225">
        <f>E439</f>
        <v>72000</v>
      </c>
      <c r="E428" s="91"/>
      <c r="F428" s="91"/>
      <c r="G428" s="225">
        <f>D428</f>
        <v>72000</v>
      </c>
      <c r="H428" s="225">
        <f>H427-G428</f>
        <v>728000</v>
      </c>
    </row>
    <row r="429" spans="1:8" s="2" customFormat="1">
      <c r="B429" s="2">
        <v>2</v>
      </c>
      <c r="C429" s="2" t="s">
        <v>2282</v>
      </c>
      <c r="D429" s="225">
        <f>E451</f>
        <v>24000</v>
      </c>
      <c r="E429" s="225">
        <f>E452</f>
        <v>7500</v>
      </c>
      <c r="F429" s="650"/>
      <c r="G429" s="225">
        <f>D429+E429</f>
        <v>31500</v>
      </c>
      <c r="H429" s="225">
        <f>H428-G429</f>
        <v>696500</v>
      </c>
    </row>
    <row r="430" spans="1:8" s="2" customFormat="1">
      <c r="B430" s="2">
        <v>3</v>
      </c>
      <c r="C430" s="2" t="s">
        <v>2283</v>
      </c>
      <c r="D430" s="91"/>
      <c r="E430" s="91"/>
      <c r="F430" s="225">
        <f>H429</f>
        <v>696500</v>
      </c>
      <c r="G430" s="225">
        <f>F430</f>
        <v>696500</v>
      </c>
      <c r="H430" s="225">
        <f>H429-G430</f>
        <v>0</v>
      </c>
    </row>
    <row r="431" spans="1:8" s="2" customFormat="1">
      <c r="C431" s="2" t="s">
        <v>436</v>
      </c>
      <c r="D431" s="651">
        <f>SUM(D427:D430)</f>
        <v>96000</v>
      </c>
      <c r="E431" s="651">
        <f>SUM(E427:E430)</f>
        <v>7500</v>
      </c>
      <c r="F431" s="651">
        <f>SUM(F427:F430)</f>
        <v>696500</v>
      </c>
      <c r="G431" s="651">
        <f>SUM(G427:G430)</f>
        <v>800000</v>
      </c>
      <c r="H431" s="91"/>
    </row>
    <row r="432" spans="1:8" s="2" customFormat="1"/>
    <row r="433" spans="1:7" s="2" customFormat="1">
      <c r="A433" s="2" t="s">
        <v>2104</v>
      </c>
    </row>
    <row r="434" spans="1:7" s="2" customFormat="1">
      <c r="B434" s="2" t="s">
        <v>2284</v>
      </c>
      <c r="C434" s="2" t="s">
        <v>2285</v>
      </c>
    </row>
    <row r="435" spans="1:7" s="2" customFormat="1">
      <c r="B435" s="2" t="s">
        <v>2286</v>
      </c>
      <c r="C435" s="2" t="s">
        <v>2287</v>
      </c>
    </row>
    <row r="436" spans="1:7" s="2" customFormat="1">
      <c r="C436" s="2" t="s">
        <v>2288</v>
      </c>
    </row>
    <row r="437" spans="1:7" s="2" customFormat="1">
      <c r="C437" s="2" t="s">
        <v>2289</v>
      </c>
    </row>
    <row r="438" spans="1:7" s="2" customFormat="1"/>
    <row r="439" spans="1:7" s="2" customFormat="1">
      <c r="E439" s="58">
        <f>300000*8%*3</f>
        <v>72000</v>
      </c>
      <c r="G439" s="2" t="s">
        <v>2290</v>
      </c>
    </row>
    <row r="440" spans="1:7" s="2" customFormat="1"/>
    <row r="441" spans="1:7" s="2" customFormat="1">
      <c r="C441" s="2" t="s">
        <v>2291</v>
      </c>
    </row>
    <row r="442" spans="1:7" s="2" customFormat="1">
      <c r="C442" s="2" t="s">
        <v>2292</v>
      </c>
    </row>
    <row r="443" spans="1:7" s="2" customFormat="1">
      <c r="C443" s="2" t="s">
        <v>2293</v>
      </c>
    </row>
    <row r="444" spans="1:7" s="2" customFormat="1">
      <c r="C444" s="2" t="s">
        <v>2294</v>
      </c>
    </row>
    <row r="445" spans="1:7" s="2" customFormat="1">
      <c r="C445" s="2" t="s">
        <v>2295</v>
      </c>
    </row>
    <row r="446" spans="1:7" s="2" customFormat="1"/>
    <row r="447" spans="1:7" s="2" customFormat="1">
      <c r="B447" s="2" t="s">
        <v>2296</v>
      </c>
      <c r="C447" s="2" t="s">
        <v>2297</v>
      </c>
    </row>
    <row r="448" spans="1:7" s="2" customFormat="1">
      <c r="C448" s="2" t="s">
        <v>2298</v>
      </c>
    </row>
    <row r="449" spans="1:8" s="2" customFormat="1">
      <c r="C449" s="2" t="s">
        <v>2299</v>
      </c>
    </row>
    <row r="450" spans="1:8" s="2" customFormat="1"/>
    <row r="451" spans="1:8" s="2" customFormat="1">
      <c r="C451" s="2" t="s">
        <v>2300</v>
      </c>
      <c r="E451" s="58">
        <f>300000*8%</f>
        <v>24000</v>
      </c>
      <c r="G451" s="2" t="s">
        <v>2301</v>
      </c>
    </row>
    <row r="452" spans="1:8" s="2" customFormat="1">
      <c r="C452" s="2" t="s">
        <v>2302</v>
      </c>
      <c r="E452" s="58">
        <f>50000*15%</f>
        <v>7500</v>
      </c>
      <c r="G452" s="2" t="s">
        <v>2303</v>
      </c>
    </row>
    <row r="453" spans="1:8" s="2" customFormat="1"/>
    <row r="454" spans="1:8" s="2" customFormat="1">
      <c r="B454" s="2" t="s">
        <v>2304</v>
      </c>
      <c r="C454" s="2" t="s">
        <v>2305</v>
      </c>
    </row>
    <row r="455" spans="1:8" s="2" customFormat="1">
      <c r="B455" s="2" t="s">
        <v>1283</v>
      </c>
      <c r="C455" s="2" t="s">
        <v>2306</v>
      </c>
    </row>
    <row r="456" spans="1:8" s="2" customFormat="1"/>
    <row r="457" spans="1:8">
      <c r="A457" s="564" t="s">
        <v>1649</v>
      </c>
      <c r="B457" s="565"/>
      <c r="C457" s="565"/>
      <c r="D457" s="565"/>
      <c r="E457" s="565"/>
      <c r="F457" s="565"/>
      <c r="G457" s="565"/>
      <c r="H457" s="565"/>
    </row>
    <row r="458" spans="1:8">
      <c r="H458"/>
    </row>
    <row r="459" spans="1:8">
      <c r="A459" s="63" t="s">
        <v>1650</v>
      </c>
      <c r="H459"/>
    </row>
    <row r="460" spans="1:8">
      <c r="A460" s="63" t="s">
        <v>1651</v>
      </c>
      <c r="H460"/>
    </row>
    <row r="461" spans="1:8">
      <c r="A461" s="63" t="s">
        <v>1652</v>
      </c>
      <c r="H461"/>
    </row>
    <row r="462" spans="1:8">
      <c r="B462" s="63" t="s">
        <v>1653</v>
      </c>
      <c r="H462"/>
    </row>
    <row r="463" spans="1:8">
      <c r="B463" s="63" t="s">
        <v>1654</v>
      </c>
      <c r="H463"/>
    </row>
    <row r="464" spans="1:8">
      <c r="B464" s="63" t="s">
        <v>1655</v>
      </c>
      <c r="H464"/>
    </row>
    <row r="465" spans="1:8">
      <c r="H465"/>
    </row>
    <row r="466" spans="1:8">
      <c r="A466" s="63" t="s">
        <v>1656</v>
      </c>
      <c r="H466"/>
    </row>
    <row r="467" spans="1:8">
      <c r="A467" s="63" t="s">
        <v>1657</v>
      </c>
      <c r="H467"/>
    </row>
    <row r="468" spans="1:8">
      <c r="H468"/>
    </row>
    <row r="469" spans="1:8">
      <c r="A469" s="63" t="s">
        <v>1658</v>
      </c>
      <c r="H469"/>
    </row>
    <row r="471" spans="1:8" s="3" customFormat="1" ht="13">
      <c r="A471" s="577" t="s">
        <v>1686</v>
      </c>
      <c r="B471" s="577"/>
      <c r="C471" s="577"/>
      <c r="D471" s="577"/>
      <c r="E471" s="577"/>
      <c r="F471" s="577"/>
      <c r="G471" s="577"/>
      <c r="H471" s="577"/>
    </row>
    <row r="472" spans="1:8" s="3" customFormat="1" ht="13">
      <c r="A472" s="3" t="s">
        <v>1690</v>
      </c>
    </row>
    <row r="473" spans="1:8" s="3" customFormat="1" ht="13"/>
    <row r="474" spans="1:8" s="3" customFormat="1" ht="13">
      <c r="C474" s="573">
        <v>44561</v>
      </c>
      <c r="D474" s="573">
        <v>44196</v>
      </c>
    </row>
    <row r="475" spans="1:8" s="3" customFormat="1" ht="13">
      <c r="C475" s="574" t="s">
        <v>644</v>
      </c>
      <c r="D475" s="574" t="s">
        <v>644</v>
      </c>
    </row>
    <row r="476" spans="1:8" s="3" customFormat="1" ht="13">
      <c r="A476" s="443" t="s">
        <v>131</v>
      </c>
      <c r="C476" s="575"/>
      <c r="D476" s="575"/>
    </row>
    <row r="477" spans="1:8" s="3" customFormat="1" ht="13">
      <c r="A477" s="3" t="s">
        <v>1687</v>
      </c>
      <c r="C477" s="448">
        <v>40000</v>
      </c>
      <c r="D477" s="448">
        <v>13000</v>
      </c>
    </row>
    <row r="478" spans="1:8" s="3" customFormat="1" ht="13">
      <c r="A478" s="3" t="s">
        <v>845</v>
      </c>
      <c r="C478" s="448">
        <v>12000</v>
      </c>
      <c r="D478" s="448">
        <v>14000</v>
      </c>
    </row>
    <row r="479" spans="1:8" s="3" customFormat="1" ht="13">
      <c r="A479" s="3" t="s">
        <v>931</v>
      </c>
      <c r="C479" s="448">
        <v>27000</v>
      </c>
      <c r="D479" s="448">
        <v>51000</v>
      </c>
    </row>
    <row r="480" spans="1:8" s="3" customFormat="1" ht="13">
      <c r="A480" s="3" t="s">
        <v>557</v>
      </c>
      <c r="C480" s="448">
        <v>47000</v>
      </c>
      <c r="D480" s="448">
        <v>42000</v>
      </c>
    </row>
    <row r="481" spans="1:4" s="3" customFormat="1" ht="13">
      <c r="A481" s="3" t="s">
        <v>1547</v>
      </c>
      <c r="C481" s="448">
        <v>120000</v>
      </c>
      <c r="D481" s="448">
        <v>70000</v>
      </c>
    </row>
    <row r="482" spans="1:4" s="3" customFormat="1" ht="13">
      <c r="A482" s="3" t="s">
        <v>1548</v>
      </c>
      <c r="C482" s="448">
        <v>-45000</v>
      </c>
      <c r="D482" s="448">
        <v>-30000</v>
      </c>
    </row>
    <row r="483" spans="1:4" s="3" customFormat="1" ht="14" thickBot="1">
      <c r="C483" s="576">
        <f>SUM(C477:C482)</f>
        <v>201000</v>
      </c>
      <c r="D483" s="576">
        <f>SUM(D477:D482)</f>
        <v>160000</v>
      </c>
    </row>
    <row r="484" spans="1:4" s="3" customFormat="1" ht="14" thickTop="1">
      <c r="C484" s="448"/>
      <c r="D484" s="448"/>
    </row>
    <row r="485" spans="1:4" s="3" customFormat="1" ht="13">
      <c r="A485" s="443" t="s">
        <v>550</v>
      </c>
      <c r="C485" s="448"/>
      <c r="D485" s="448"/>
    </row>
    <row r="486" spans="1:4" s="3" customFormat="1" ht="13">
      <c r="A486" s="3" t="s">
        <v>1688</v>
      </c>
      <c r="C486" s="448">
        <v>29000</v>
      </c>
      <c r="D486" s="448">
        <v>20000</v>
      </c>
    </row>
    <row r="487" spans="1:4" s="3" customFormat="1" ht="13">
      <c r="A487" s="3" t="s">
        <v>75</v>
      </c>
      <c r="C487" s="448">
        <v>82000</v>
      </c>
      <c r="D487" s="448">
        <v>71000</v>
      </c>
    </row>
    <row r="488" spans="1:4" s="3" customFormat="1" ht="13">
      <c r="A488" s="3" t="s">
        <v>1549</v>
      </c>
      <c r="C488" s="448">
        <v>36000</v>
      </c>
      <c r="D488" s="448">
        <v>30000</v>
      </c>
    </row>
    <row r="489" spans="1:4" s="3" customFormat="1" ht="13">
      <c r="A489" s="3" t="s">
        <v>1689</v>
      </c>
      <c r="C489" s="448">
        <v>40000</v>
      </c>
      <c r="D489" s="448">
        <v>35000</v>
      </c>
    </row>
    <row r="490" spans="1:4" s="3" customFormat="1" ht="13">
      <c r="A490" s="3" t="s">
        <v>1501</v>
      </c>
      <c r="C490" s="448">
        <f>C483-C486-C487-C488-C489</f>
        <v>14000</v>
      </c>
      <c r="D490" s="448">
        <f>D483-D486-D487-D488-D489</f>
        <v>4000</v>
      </c>
    </row>
    <row r="491" spans="1:4" s="3" customFormat="1" ht="14" thickBot="1">
      <c r="C491" s="576">
        <f>SUM(C486:C490)</f>
        <v>201000</v>
      </c>
      <c r="D491" s="576">
        <f>SUM(D486:D490)</f>
        <v>160000</v>
      </c>
    </row>
    <row r="492" spans="1:4" s="3" customFormat="1" ht="14" thickTop="1"/>
    <row r="493" spans="1:4" s="3" customFormat="1" ht="13">
      <c r="A493" s="3" t="s">
        <v>1691</v>
      </c>
    </row>
    <row r="494" spans="1:4" s="3" customFormat="1" ht="13">
      <c r="A494" s="3" t="s">
        <v>1692</v>
      </c>
    </row>
    <row r="495" spans="1:4" s="3" customFormat="1" ht="13">
      <c r="A495" s="3" t="s">
        <v>1693</v>
      </c>
    </row>
    <row r="496" spans="1:4" s="3" customFormat="1" ht="13">
      <c r="A496" s="3" t="s">
        <v>1694</v>
      </c>
    </row>
    <row r="497" spans="1:8" s="3" customFormat="1" ht="13">
      <c r="A497" s="3" t="s">
        <v>1738</v>
      </c>
    </row>
    <row r="498" spans="1:8" s="3" customFormat="1" ht="13"/>
    <row r="499" spans="1:8" s="3" customFormat="1" ht="13">
      <c r="A499" s="3" t="s">
        <v>1695</v>
      </c>
    </row>
    <row r="500" spans="1:8" s="3" customFormat="1" ht="13"/>
    <row r="501" spans="1:8" s="3" customFormat="1" ht="13">
      <c r="A501" s="577" t="s">
        <v>1696</v>
      </c>
      <c r="B501" s="577"/>
      <c r="C501" s="577"/>
      <c r="D501" s="577"/>
      <c r="E501" s="577"/>
      <c r="F501" s="577"/>
      <c r="G501" s="577"/>
      <c r="H501" s="577"/>
    </row>
    <row r="502" spans="1:8" s="3" customFormat="1" ht="13"/>
    <row r="503" spans="1:8" s="3" customFormat="1" ht="13">
      <c r="A503" s="3" t="s">
        <v>1786</v>
      </c>
    </row>
    <row r="504" spans="1:8" s="3" customFormat="1" ht="13">
      <c r="A504" s="3" t="s">
        <v>1704</v>
      </c>
    </row>
    <row r="505" spans="1:8" s="3" customFormat="1" ht="13">
      <c r="A505" s="3" t="s">
        <v>1698</v>
      </c>
    </row>
    <row r="506" spans="1:8" s="3" customFormat="1" ht="13">
      <c r="A506" s="3" t="s">
        <v>1697</v>
      </c>
    </row>
    <row r="507" spans="1:8" s="3" customFormat="1" ht="13">
      <c r="A507" s="3" t="s">
        <v>1700</v>
      </c>
    </row>
    <row r="508" spans="1:8" s="3" customFormat="1" ht="13">
      <c r="A508" s="3" t="s">
        <v>1787</v>
      </c>
    </row>
    <row r="509" spans="1:8" s="3" customFormat="1" ht="13"/>
    <row r="510" spans="1:8" s="3" customFormat="1" ht="13">
      <c r="A510" s="3" t="s">
        <v>1705</v>
      </c>
    </row>
    <row r="511" spans="1:8" s="3" customFormat="1" ht="13">
      <c r="A511" s="3" t="s">
        <v>1706</v>
      </c>
    </row>
    <row r="512" spans="1:8" s="3" customFormat="1" ht="13">
      <c r="A512" s="3" t="s">
        <v>1707</v>
      </c>
    </row>
    <row r="513" spans="1:10" s="3" customFormat="1" ht="13">
      <c r="A513" s="3" t="s">
        <v>1788</v>
      </c>
    </row>
    <row r="514" spans="1:10" s="3" customFormat="1" ht="13">
      <c r="A514" s="3" t="s">
        <v>1717</v>
      </c>
    </row>
    <row r="515" spans="1:10" s="3" customFormat="1" ht="13">
      <c r="A515" s="3" t="s">
        <v>1713</v>
      </c>
    </row>
    <row r="516" spans="1:10" s="3" customFormat="1" ht="13">
      <c r="A516" s="3" t="s">
        <v>1714</v>
      </c>
    </row>
    <row r="517" spans="1:10" s="3" customFormat="1" ht="13">
      <c r="A517" s="3" t="s">
        <v>1712</v>
      </c>
    </row>
    <row r="518" spans="1:10" s="3" customFormat="1" ht="13">
      <c r="A518" s="3" t="s">
        <v>1716</v>
      </c>
    </row>
    <row r="519" spans="1:10" s="3" customFormat="1" ht="13">
      <c r="A519" s="3" t="s">
        <v>1710</v>
      </c>
    </row>
    <row r="520" spans="1:10" s="3" customFormat="1" ht="13"/>
    <row r="521" spans="1:10" s="3" customFormat="1" ht="13">
      <c r="A521" s="443" t="s">
        <v>1699</v>
      </c>
      <c r="C521" s="656">
        <v>44561</v>
      </c>
      <c r="D521" s="656">
        <v>44196</v>
      </c>
      <c r="E521" s="580" t="s">
        <v>1666</v>
      </c>
      <c r="F521" s="580" t="s">
        <v>1667</v>
      </c>
      <c r="G521" s="580" t="s">
        <v>1668</v>
      </c>
      <c r="H521" s="580" t="s">
        <v>1669</v>
      </c>
      <c r="I521" s="580" t="s">
        <v>66</v>
      </c>
      <c r="J521" s="580" t="s">
        <v>1703</v>
      </c>
    </row>
    <row r="522" spans="1:10" s="3" customFormat="1" ht="13">
      <c r="A522" s="581"/>
      <c r="B522" s="582"/>
      <c r="C522" s="657"/>
      <c r="D522" s="657"/>
      <c r="E522" s="659"/>
      <c r="F522" s="583"/>
      <c r="G522" s="583"/>
      <c r="H522" s="583"/>
      <c r="I522" s="586" t="s">
        <v>1673</v>
      </c>
      <c r="J522" s="583"/>
    </row>
    <row r="523" spans="1:10" s="3" customFormat="1" ht="13">
      <c r="A523" s="582" t="s">
        <v>1687</v>
      </c>
      <c r="B523" s="582"/>
      <c r="C523" s="587">
        <v>40000</v>
      </c>
      <c r="D523" s="587">
        <v>13000</v>
      </c>
      <c r="E523" s="587">
        <f>C523-D523</f>
        <v>27000</v>
      </c>
      <c r="F523" s="654"/>
      <c r="G523" s="654"/>
      <c r="H523" s="654"/>
      <c r="I523" s="587">
        <f>E523</f>
        <v>27000</v>
      </c>
      <c r="J523" s="654"/>
    </row>
    <row r="524" spans="1:10" s="3" customFormat="1" ht="13">
      <c r="C524" s="489"/>
      <c r="D524" s="489"/>
      <c r="E524" s="489"/>
      <c r="F524" s="588" t="s">
        <v>1674</v>
      </c>
      <c r="G524" s="655"/>
      <c r="H524" s="655"/>
      <c r="I524" s="584"/>
      <c r="J524" s="655"/>
    </row>
    <row r="525" spans="1:10" s="3" customFormat="1" ht="13">
      <c r="A525" s="3" t="s">
        <v>845</v>
      </c>
      <c r="C525" s="489">
        <v>12000</v>
      </c>
      <c r="D525" s="489">
        <v>14000</v>
      </c>
      <c r="E525" s="489">
        <f>C525-D525</f>
        <v>-2000</v>
      </c>
      <c r="F525" s="489">
        <f>-E525</f>
        <v>2000</v>
      </c>
      <c r="G525" s="655"/>
      <c r="H525" s="655"/>
      <c r="I525" s="655"/>
      <c r="J525" s="655"/>
    </row>
    <row r="526" spans="1:10" s="3" customFormat="1" ht="13">
      <c r="A526" s="582"/>
      <c r="B526" s="582"/>
      <c r="C526" s="587"/>
      <c r="D526" s="587"/>
      <c r="E526" s="587"/>
      <c r="F526" s="587" t="s">
        <v>1708</v>
      </c>
      <c r="G526" s="654"/>
      <c r="H526" s="654"/>
      <c r="I526" s="654"/>
      <c r="J526" s="654"/>
    </row>
    <row r="527" spans="1:10" s="3" customFormat="1" ht="13">
      <c r="A527" s="582" t="s">
        <v>931</v>
      </c>
      <c r="B527" s="582"/>
      <c r="C527" s="587">
        <v>27000</v>
      </c>
      <c r="D527" s="587">
        <v>51000</v>
      </c>
      <c r="E527" s="587">
        <f>C527-D527</f>
        <v>-24000</v>
      </c>
      <c r="F527" s="587">
        <f>-E527</f>
        <v>24000</v>
      </c>
      <c r="G527" s="654"/>
      <c r="H527" s="654"/>
      <c r="I527" s="654"/>
      <c r="J527" s="654"/>
    </row>
    <row r="528" spans="1:10" s="3" customFormat="1" ht="13">
      <c r="C528" s="489"/>
      <c r="D528" s="489"/>
      <c r="E528" s="489"/>
      <c r="F528" s="489" t="s">
        <v>1709</v>
      </c>
      <c r="G528" s="655"/>
      <c r="H528" s="655"/>
      <c r="I528" s="655"/>
      <c r="J528" s="655"/>
    </row>
    <row r="529" spans="1:10" s="3" customFormat="1" ht="13">
      <c r="A529" s="3" t="s">
        <v>557</v>
      </c>
      <c r="C529" s="489">
        <v>47000</v>
      </c>
      <c r="D529" s="489">
        <v>42000</v>
      </c>
      <c r="E529" s="489">
        <f>C529-D529</f>
        <v>5000</v>
      </c>
      <c r="F529" s="489">
        <f>-E529</f>
        <v>-5000</v>
      </c>
      <c r="G529" s="655"/>
      <c r="H529" s="655"/>
      <c r="I529" s="655"/>
      <c r="J529" s="655"/>
    </row>
    <row r="530" spans="1:10" s="3" customFormat="1" ht="13">
      <c r="A530" s="582"/>
      <c r="B530" s="582"/>
      <c r="C530" s="587"/>
      <c r="D530" s="587"/>
      <c r="E530" s="587"/>
      <c r="F530" s="587" t="s">
        <v>587</v>
      </c>
      <c r="G530" s="586" t="s">
        <v>1718</v>
      </c>
      <c r="H530" s="654"/>
      <c r="I530" s="654"/>
      <c r="J530" s="654"/>
    </row>
    <row r="531" spans="1:10" s="3" customFormat="1" ht="13">
      <c r="A531" s="582" t="s">
        <v>1702</v>
      </c>
      <c r="B531" s="582"/>
      <c r="C531" s="587">
        <f>C481+C482</f>
        <v>75000</v>
      </c>
      <c r="D531" s="587">
        <f>D481+D482</f>
        <v>40000</v>
      </c>
      <c r="E531" s="587">
        <f>C531-D531</f>
        <v>35000</v>
      </c>
      <c r="F531" s="587">
        <f>D482-C482</f>
        <v>15000</v>
      </c>
      <c r="G531" s="587">
        <f>-C481+D481</f>
        <v>-50000</v>
      </c>
      <c r="H531" s="654"/>
      <c r="I531" s="654"/>
      <c r="J531" s="654"/>
    </row>
    <row r="532" spans="1:10" s="3" customFormat="1" ht="13">
      <c r="A532" s="488"/>
      <c r="B532" s="488"/>
      <c r="C532" s="489"/>
      <c r="D532" s="489"/>
      <c r="E532" s="489"/>
      <c r="F532" s="588" t="s">
        <v>1675</v>
      </c>
      <c r="G532" s="655"/>
      <c r="H532" s="655"/>
      <c r="I532" s="655"/>
      <c r="J532" s="655"/>
    </row>
    <row r="533" spans="1:10" s="3" customFormat="1" ht="13">
      <c r="A533" s="488" t="s">
        <v>1688</v>
      </c>
      <c r="B533" s="488"/>
      <c r="C533" s="489">
        <v>-29000</v>
      </c>
      <c r="D533" s="489">
        <v>-20000</v>
      </c>
      <c r="E533" s="489">
        <f>C533-D533</f>
        <v>-9000</v>
      </c>
      <c r="F533" s="489">
        <f>-E533</f>
        <v>9000</v>
      </c>
      <c r="G533" s="655"/>
      <c r="H533" s="655"/>
      <c r="I533" s="655"/>
      <c r="J533" s="655"/>
    </row>
    <row r="534" spans="1:10" s="3" customFormat="1" ht="13">
      <c r="A534" s="658"/>
      <c r="B534" s="658"/>
      <c r="C534" s="587"/>
      <c r="D534" s="587"/>
      <c r="E534" s="587"/>
      <c r="F534" s="653"/>
      <c r="G534" s="654"/>
      <c r="H534" s="586" t="s">
        <v>1711</v>
      </c>
      <c r="I534" s="654"/>
      <c r="J534" s="654"/>
    </row>
    <row r="535" spans="1:10" s="3" customFormat="1" ht="13">
      <c r="A535" s="658" t="s">
        <v>75</v>
      </c>
      <c r="B535" s="658"/>
      <c r="C535" s="587">
        <v>-82000</v>
      </c>
      <c r="D535" s="587">
        <v>-71000</v>
      </c>
      <c r="E535" s="587">
        <f>C535-D535</f>
        <v>-11000</v>
      </c>
      <c r="F535" s="654"/>
      <c r="G535" s="654"/>
      <c r="H535" s="587">
        <f>-E535</f>
        <v>11000</v>
      </c>
      <c r="I535" s="654"/>
      <c r="J535" s="654"/>
    </row>
    <row r="536" spans="1:10" s="3" customFormat="1" ht="13">
      <c r="A536" s="488"/>
      <c r="B536" s="488"/>
      <c r="C536" s="489"/>
      <c r="D536" s="489"/>
      <c r="E536" s="489"/>
      <c r="F536" s="588"/>
      <c r="G536" s="588"/>
      <c r="H536" s="489" t="s">
        <v>1588</v>
      </c>
      <c r="I536" s="655"/>
      <c r="J536" s="655"/>
    </row>
    <row r="537" spans="1:10" s="3" customFormat="1" ht="13">
      <c r="A537" s="488" t="s">
        <v>1701</v>
      </c>
      <c r="B537" s="488"/>
      <c r="C537" s="489">
        <f>-(C488+C489)</f>
        <v>-76000</v>
      </c>
      <c r="D537" s="489">
        <f>-D488-D489</f>
        <v>-65000</v>
      </c>
      <c r="E537" s="489">
        <f>C537-D537</f>
        <v>-11000</v>
      </c>
      <c r="F537" s="588"/>
      <c r="G537" s="588"/>
      <c r="H537" s="489">
        <f>-E537</f>
        <v>11000</v>
      </c>
      <c r="I537" s="655"/>
      <c r="J537" s="655"/>
    </row>
    <row r="538" spans="1:10" s="3" customFormat="1" ht="13">
      <c r="A538" s="658"/>
      <c r="B538" s="658"/>
      <c r="C538" s="587"/>
      <c r="D538" s="587"/>
      <c r="E538" s="587"/>
      <c r="F538" s="586" t="s">
        <v>467</v>
      </c>
      <c r="G538" s="654"/>
      <c r="H538" s="587" t="s">
        <v>1715</v>
      </c>
      <c r="I538" s="654"/>
      <c r="J538" s="654"/>
    </row>
    <row r="539" spans="1:10" s="3" customFormat="1" ht="13">
      <c r="A539" s="658" t="s">
        <v>1501</v>
      </c>
      <c r="B539" s="658"/>
      <c r="C539" s="587">
        <f>-C490</f>
        <v>-14000</v>
      </c>
      <c r="D539" s="587">
        <f>-D490</f>
        <v>-4000</v>
      </c>
      <c r="E539" s="587">
        <f>C539-D539</f>
        <v>-10000</v>
      </c>
      <c r="F539" s="587">
        <f>10000-H539</f>
        <v>15000</v>
      </c>
      <c r="G539" s="653"/>
      <c r="H539" s="587">
        <v>-5000</v>
      </c>
      <c r="I539" s="653"/>
      <c r="J539" s="654"/>
    </row>
    <row r="540" spans="1:10" s="3" customFormat="1" ht="13">
      <c r="A540" s="488" t="s">
        <v>436</v>
      </c>
      <c r="B540" s="488"/>
      <c r="C540" s="490">
        <f>SUM(C523:C539)</f>
        <v>0</v>
      </c>
      <c r="D540" s="490">
        <f>SUM(D523:D539)</f>
        <v>0</v>
      </c>
      <c r="E540" s="490">
        <f>SUM(E523:E539)</f>
        <v>0</v>
      </c>
      <c r="F540" s="490">
        <f>SUM(F522:F539)</f>
        <v>60000</v>
      </c>
      <c r="G540" s="490">
        <f>SUM(G522:G539)</f>
        <v>-50000</v>
      </c>
      <c r="H540" s="490">
        <f>SUM(H522:H539)</f>
        <v>17000</v>
      </c>
      <c r="I540" s="490">
        <f>SUM(I522:I539)</f>
        <v>27000</v>
      </c>
      <c r="J540" s="660"/>
    </row>
    <row r="541" spans="1:10" s="3" customFormat="1" ht="13"/>
    <row r="542" spans="1:10" s="3" customFormat="1" ht="13">
      <c r="F542" s="3" t="s">
        <v>2309</v>
      </c>
      <c r="H542" s="447">
        <f>F540+G540+H540</f>
        <v>27000</v>
      </c>
      <c r="I542" s="3" t="s">
        <v>2310</v>
      </c>
    </row>
    <row r="543" spans="1:10" s="3" customFormat="1" ht="13"/>
    <row r="544" spans="1:10" s="3" customFormat="1" ht="13">
      <c r="A544" s="3" t="s">
        <v>1719</v>
      </c>
    </row>
    <row r="545" spans="1:6" s="3" customFormat="1" ht="13">
      <c r="A545" s="3" t="s">
        <v>1736</v>
      </c>
    </row>
    <row r="546" spans="1:6" s="3" customFormat="1" ht="13">
      <c r="A546" s="3" t="s">
        <v>1737</v>
      </c>
    </row>
    <row r="547" spans="1:6" s="3" customFormat="1" ht="14" thickBot="1"/>
    <row r="548" spans="1:6" s="3" customFormat="1" ht="13">
      <c r="A548" s="460" t="s">
        <v>1720</v>
      </c>
      <c r="B548" s="570"/>
      <c r="C548" s="570"/>
      <c r="D548" s="570"/>
      <c r="E548" s="570"/>
      <c r="F548" s="453"/>
    </row>
    <row r="549" spans="1:6" s="3" customFormat="1" ht="13">
      <c r="A549" s="454"/>
      <c r="F549" s="571"/>
    </row>
    <row r="550" spans="1:6" s="3" customFormat="1" ht="13">
      <c r="A550" s="589" t="s">
        <v>1721</v>
      </c>
      <c r="F550" s="571"/>
    </row>
    <row r="551" spans="1:6" s="3" customFormat="1" ht="13">
      <c r="A551" s="454" t="s">
        <v>467</v>
      </c>
      <c r="E551" s="618">
        <f>F539</f>
        <v>15000</v>
      </c>
      <c r="F551" s="571"/>
    </row>
    <row r="552" spans="1:6" s="3" customFormat="1" ht="13">
      <c r="A552" s="454"/>
      <c r="E552" s="615"/>
      <c r="F552" s="571"/>
    </row>
    <row r="553" spans="1:6" s="3" customFormat="1" ht="13">
      <c r="A553" s="454" t="s">
        <v>1722</v>
      </c>
      <c r="E553" s="615"/>
      <c r="F553" s="571"/>
    </row>
    <row r="554" spans="1:6" s="3" customFormat="1" ht="13">
      <c r="A554" s="454"/>
      <c r="E554" s="615"/>
      <c r="F554" s="571"/>
    </row>
    <row r="555" spans="1:6" s="3" customFormat="1" ht="13">
      <c r="A555" s="590" t="s">
        <v>1723</v>
      </c>
      <c r="E555" s="615"/>
      <c r="F555" s="571"/>
    </row>
    <row r="556" spans="1:6" s="3" customFormat="1" ht="13">
      <c r="A556" s="661"/>
      <c r="B556" s="488" t="s">
        <v>587</v>
      </c>
      <c r="C556" s="488"/>
      <c r="D556" s="488"/>
      <c r="E556" s="618">
        <f>F531</f>
        <v>15000</v>
      </c>
      <c r="F556" s="571"/>
    </row>
    <row r="557" spans="1:6" s="3" customFormat="1" ht="13">
      <c r="A557" s="661"/>
      <c r="B557" s="488"/>
      <c r="C557" s="488"/>
      <c r="D557" s="488"/>
      <c r="E557" s="488"/>
      <c r="F557" s="571"/>
    </row>
    <row r="558" spans="1:6" s="3" customFormat="1" ht="13">
      <c r="A558" s="590" t="s">
        <v>1724</v>
      </c>
      <c r="E558" s="615"/>
      <c r="F558" s="571"/>
    </row>
    <row r="559" spans="1:6" s="3" customFormat="1" ht="13">
      <c r="A559" s="661"/>
      <c r="B559" s="488" t="s">
        <v>1674</v>
      </c>
      <c r="C559" s="488"/>
      <c r="D559" s="488"/>
      <c r="E559" s="618">
        <f>F525</f>
        <v>2000</v>
      </c>
      <c r="F559" s="571"/>
    </row>
    <row r="560" spans="1:6" s="3" customFormat="1" ht="13">
      <c r="A560" s="661"/>
      <c r="B560" s="488" t="s">
        <v>1708</v>
      </c>
      <c r="C560" s="488"/>
      <c r="D560" s="488"/>
      <c r="E560" s="618">
        <f>F527</f>
        <v>24000</v>
      </c>
      <c r="F560" s="571"/>
    </row>
    <row r="561" spans="1:6" s="3" customFormat="1" ht="13">
      <c r="A561" s="661"/>
      <c r="B561" s="488" t="s">
        <v>1709</v>
      </c>
      <c r="C561" s="488"/>
      <c r="D561" s="488"/>
      <c r="E561" s="618">
        <f>F529</f>
        <v>-5000</v>
      </c>
      <c r="F561" s="571"/>
    </row>
    <row r="562" spans="1:6" s="3" customFormat="1" ht="13">
      <c r="A562" s="661"/>
      <c r="B562" s="488" t="s">
        <v>1731</v>
      </c>
      <c r="C562" s="488"/>
      <c r="D562" s="488"/>
      <c r="E562" s="618">
        <f>F533</f>
        <v>9000</v>
      </c>
      <c r="F562" s="571"/>
    </row>
    <row r="563" spans="1:6" s="3" customFormat="1" ht="13">
      <c r="A563" s="661"/>
      <c r="B563" s="488"/>
      <c r="C563" s="488"/>
      <c r="D563" s="488"/>
      <c r="E563" s="488"/>
      <c r="F563" s="571"/>
    </row>
    <row r="564" spans="1:6" s="3" customFormat="1" ht="13">
      <c r="A564" s="454" t="s">
        <v>1725</v>
      </c>
      <c r="E564" s="619">
        <f>SUM(E551:E562)</f>
        <v>60000</v>
      </c>
      <c r="F564" s="571"/>
    </row>
    <row r="565" spans="1:6" s="3" customFormat="1" ht="13">
      <c r="A565" s="454"/>
      <c r="F565" s="571"/>
    </row>
    <row r="566" spans="1:6" s="3" customFormat="1" ht="13">
      <c r="A566" s="589" t="s">
        <v>1726</v>
      </c>
      <c r="F566" s="571"/>
    </row>
    <row r="567" spans="1:6" s="3" customFormat="1" ht="13">
      <c r="A567" s="661" t="s">
        <v>1732</v>
      </c>
      <c r="B567" s="488"/>
      <c r="C567" s="488"/>
      <c r="D567" s="488"/>
      <c r="E567" s="618">
        <f>G531</f>
        <v>-50000</v>
      </c>
      <c r="F567" s="571"/>
    </row>
    <row r="568" spans="1:6" s="3" customFormat="1" ht="13">
      <c r="A568" s="661" t="s">
        <v>1733</v>
      </c>
      <c r="B568" s="488"/>
      <c r="C568" s="488"/>
      <c r="D568" s="488"/>
      <c r="E568" s="619">
        <f>E567</f>
        <v>-50000</v>
      </c>
      <c r="F568" s="571"/>
    </row>
    <row r="569" spans="1:6" s="3" customFormat="1" ht="13">
      <c r="A569" s="454"/>
      <c r="F569" s="571"/>
    </row>
    <row r="570" spans="1:6" s="3" customFormat="1" ht="13">
      <c r="A570" s="589" t="s">
        <v>1727</v>
      </c>
      <c r="F570" s="571"/>
    </row>
    <row r="571" spans="1:6" s="3" customFormat="1" ht="13">
      <c r="A571" s="661" t="s">
        <v>1734</v>
      </c>
      <c r="B571" s="488"/>
      <c r="C571" s="488"/>
      <c r="D571" s="488"/>
      <c r="E571" s="618">
        <f>H535</f>
        <v>11000</v>
      </c>
      <c r="F571" s="571"/>
    </row>
    <row r="572" spans="1:6" s="3" customFormat="1" ht="13">
      <c r="A572" s="661" t="s">
        <v>1588</v>
      </c>
      <c r="B572" s="488"/>
      <c r="C572" s="488"/>
      <c r="D572" s="488"/>
      <c r="E572" s="618">
        <f>H537</f>
        <v>11000</v>
      </c>
      <c r="F572" s="571"/>
    </row>
    <row r="573" spans="1:6" s="3" customFormat="1" ht="13">
      <c r="A573" s="661" t="s">
        <v>1715</v>
      </c>
      <c r="B573" s="488"/>
      <c r="C573" s="488"/>
      <c r="D573" s="488"/>
      <c r="E573" s="618">
        <f>H539</f>
        <v>-5000</v>
      </c>
      <c r="F573" s="571"/>
    </row>
    <row r="574" spans="1:6" s="3" customFormat="1" ht="13">
      <c r="A574" s="661" t="s">
        <v>1735</v>
      </c>
      <c r="B574" s="488"/>
      <c r="C574" s="488"/>
      <c r="D574" s="488"/>
      <c r="E574" s="619">
        <f>SUM(E571:E573)</f>
        <v>17000</v>
      </c>
      <c r="F574" s="571"/>
    </row>
    <row r="575" spans="1:6" s="3" customFormat="1" ht="13">
      <c r="A575" s="454"/>
      <c r="F575" s="571"/>
    </row>
    <row r="576" spans="1:6" s="3" customFormat="1" ht="13">
      <c r="A576" s="454"/>
      <c r="F576" s="571"/>
    </row>
    <row r="577" spans="1:8" s="3" customFormat="1" ht="13">
      <c r="A577" s="454"/>
      <c r="F577" s="571"/>
    </row>
    <row r="578" spans="1:8" s="3" customFormat="1" ht="13">
      <c r="A578" s="589" t="s">
        <v>1728</v>
      </c>
      <c r="B578" s="443"/>
      <c r="C578" s="443"/>
      <c r="D578" s="443"/>
      <c r="E578" s="662">
        <f>E564+E568+E574</f>
        <v>27000</v>
      </c>
      <c r="F578" s="571"/>
    </row>
    <row r="579" spans="1:8" s="3" customFormat="1" ht="13">
      <c r="A579" s="589" t="s">
        <v>1789</v>
      </c>
      <c r="B579" s="443"/>
      <c r="C579" s="443"/>
      <c r="D579" s="443"/>
      <c r="E579" s="662">
        <f>D523</f>
        <v>13000</v>
      </c>
      <c r="F579" s="571"/>
    </row>
    <row r="580" spans="1:8" s="3" customFormat="1" ht="14" thickBot="1">
      <c r="A580" s="591" t="s">
        <v>1790</v>
      </c>
      <c r="B580" s="592"/>
      <c r="C580" s="592"/>
      <c r="D580" s="592"/>
      <c r="E580" s="663">
        <f>E578+E579</f>
        <v>40000</v>
      </c>
      <c r="F580" s="572"/>
    </row>
    <row r="581" spans="1:8" s="3" customFormat="1" ht="13"/>
    <row r="583" spans="1:8" ht="17" thickBot="1"/>
    <row r="584" spans="1:8">
      <c r="A584" s="114" t="s">
        <v>2312</v>
      </c>
      <c r="B584" s="634"/>
      <c r="C584" s="634"/>
      <c r="D584" s="634"/>
      <c r="E584" s="634"/>
      <c r="F584" s="634"/>
      <c r="G584" s="634"/>
      <c r="H584" s="635"/>
    </row>
    <row r="585" spans="1:8" ht="17" thickBot="1">
      <c r="A585" s="664" t="s">
        <v>2311</v>
      </c>
      <c r="B585" s="523"/>
      <c r="C585" s="523"/>
      <c r="D585" s="523"/>
      <c r="E585" s="523"/>
      <c r="F585" s="523"/>
      <c r="G585" s="523"/>
      <c r="H585" s="524"/>
    </row>
    <row r="587" spans="1:8">
      <c r="A587" s="63" t="s">
        <v>2313</v>
      </c>
    </row>
    <row r="589" spans="1:8">
      <c r="C589" s="525">
        <v>45657</v>
      </c>
      <c r="D589" s="533" t="s">
        <v>2314</v>
      </c>
    </row>
    <row r="590" spans="1:8">
      <c r="B590" s="63" t="s">
        <v>197</v>
      </c>
      <c r="C590" s="64">
        <v>60000</v>
      </c>
      <c r="D590" s="64">
        <v>40000</v>
      </c>
    </row>
    <row r="591" spans="1:8">
      <c r="B591" s="63" t="s">
        <v>540</v>
      </c>
      <c r="C591" s="64">
        <v>88000</v>
      </c>
      <c r="D591" s="64">
        <v>90000</v>
      </c>
    </row>
    <row r="593" spans="1:10">
      <c r="A593" s="63" t="s">
        <v>2315</v>
      </c>
    </row>
    <row r="594" spans="1:10">
      <c r="A594" s="63" t="s">
        <v>2316</v>
      </c>
    </row>
    <row r="595" spans="1:10">
      <c r="A595" s="63" t="s">
        <v>2317</v>
      </c>
    </row>
    <row r="597" spans="1:10">
      <c r="A597" s="5" t="s">
        <v>2318</v>
      </c>
    </row>
    <row r="599" spans="1:10">
      <c r="A599" s="5" t="s">
        <v>2319</v>
      </c>
      <c r="C599" s="527">
        <v>45657</v>
      </c>
      <c r="D599" s="527">
        <v>45291</v>
      </c>
      <c r="E599" s="506" t="s">
        <v>1666</v>
      </c>
      <c r="F599" s="506" t="s">
        <v>1667</v>
      </c>
      <c r="G599" s="506" t="s">
        <v>1668</v>
      </c>
      <c r="H599" s="506" t="s">
        <v>1669</v>
      </c>
      <c r="I599" s="506" t="s">
        <v>66</v>
      </c>
      <c r="J599" s="506" t="s">
        <v>1703</v>
      </c>
    </row>
    <row r="600" spans="1:10" ht="102">
      <c r="A600" s="63" t="s">
        <v>1701</v>
      </c>
      <c r="C600" s="667">
        <f>-(C590+C591)</f>
        <v>-148000</v>
      </c>
      <c r="D600" s="667">
        <f>-(D590+D591)</f>
        <v>-130000</v>
      </c>
      <c r="E600" s="667">
        <f>C600-D600</f>
        <v>-18000</v>
      </c>
      <c r="F600" s="667"/>
      <c r="G600" s="667"/>
      <c r="H600" s="668">
        <f>C607</f>
        <v>18000</v>
      </c>
      <c r="I600" s="667"/>
      <c r="J600" s="666" t="s">
        <v>2326</v>
      </c>
    </row>
    <row r="602" spans="1:10">
      <c r="A602" s="63" t="s">
        <v>2320</v>
      </c>
    </row>
    <row r="603" spans="1:10">
      <c r="A603" s="63" t="s">
        <v>2321</v>
      </c>
    </row>
    <row r="605" spans="1:10">
      <c r="C605" s="63" t="s">
        <v>197</v>
      </c>
      <c r="H605" s="504" t="s">
        <v>540</v>
      </c>
      <c r="I605" s="504"/>
    </row>
    <row r="606" spans="1:10">
      <c r="A606" s="637">
        <v>45291</v>
      </c>
      <c r="B606" s="63" t="s">
        <v>1586</v>
      </c>
      <c r="C606" s="64">
        <f>D590</f>
        <v>40000</v>
      </c>
      <c r="F606" s="637">
        <v>45291</v>
      </c>
      <c r="G606" s="63" t="s">
        <v>1586</v>
      </c>
      <c r="H606" s="495">
        <f>D591</f>
        <v>90000</v>
      </c>
      <c r="I606" s="504"/>
    </row>
    <row r="607" spans="1:10">
      <c r="A607" s="63">
        <v>2024</v>
      </c>
      <c r="B607" s="63" t="s">
        <v>2322</v>
      </c>
      <c r="C607" s="665">
        <f>C609-C608-C606</f>
        <v>18000</v>
      </c>
      <c r="D607" s="63" t="s">
        <v>2324</v>
      </c>
      <c r="F607" s="63">
        <v>2024</v>
      </c>
      <c r="G607" s="63" t="s">
        <v>2322</v>
      </c>
      <c r="H607" s="504">
        <v>0</v>
      </c>
      <c r="I607" s="534" t="s">
        <v>2323</v>
      </c>
    </row>
    <row r="608" spans="1:10">
      <c r="A608" s="63">
        <v>2024</v>
      </c>
      <c r="B608" s="63" t="s">
        <v>1597</v>
      </c>
      <c r="C608" s="502">
        <f>-H608</f>
        <v>2000</v>
      </c>
      <c r="F608" s="63">
        <v>2024</v>
      </c>
      <c r="G608" s="63" t="s">
        <v>1597</v>
      </c>
      <c r="H608" s="567">
        <f>H609-H607-H606</f>
        <v>-2000</v>
      </c>
      <c r="I608" s="504" t="s">
        <v>1508</v>
      </c>
    </row>
    <row r="609" spans="1:9">
      <c r="A609" s="637">
        <v>45657</v>
      </c>
      <c r="B609" s="63" t="s">
        <v>1022</v>
      </c>
      <c r="C609" s="64">
        <f>C590</f>
        <v>60000</v>
      </c>
      <c r="F609" s="637">
        <v>45657</v>
      </c>
      <c r="G609" s="63" t="s">
        <v>1022</v>
      </c>
      <c r="H609" s="495">
        <f>C591</f>
        <v>88000</v>
      </c>
      <c r="I609" s="504"/>
    </row>
    <row r="611" spans="1:9">
      <c r="B611" s="63" t="s">
        <v>2325</v>
      </c>
    </row>
    <row r="613" spans="1:9">
      <c r="A613" s="5" t="s">
        <v>2327</v>
      </c>
    </row>
    <row r="615" spans="1:9">
      <c r="A615" s="531" t="s">
        <v>2328</v>
      </c>
    </row>
    <row r="616" spans="1:9">
      <c r="B616" s="63" t="s">
        <v>1507</v>
      </c>
      <c r="D616" s="64">
        <f>C607</f>
        <v>18000</v>
      </c>
    </row>
    <row r="618" spans="1:9">
      <c r="A618" s="531" t="s">
        <v>2329</v>
      </c>
    </row>
    <row r="619" spans="1:9">
      <c r="B619" s="63" t="s">
        <v>2330</v>
      </c>
    </row>
    <row r="621" spans="1:9" ht="17" thickBot="1"/>
    <row r="622" spans="1:9">
      <c r="A622" s="114" t="s">
        <v>2312</v>
      </c>
      <c r="B622" s="634"/>
      <c r="C622" s="634"/>
      <c r="D622" s="634"/>
      <c r="E622" s="634"/>
      <c r="F622" s="634"/>
      <c r="G622" s="634"/>
      <c r="H622" s="635"/>
    </row>
    <row r="623" spans="1:9" ht="17" thickBot="1">
      <c r="A623" s="664" t="s">
        <v>2373</v>
      </c>
      <c r="B623" s="523"/>
      <c r="C623" s="523"/>
      <c r="D623" s="523"/>
      <c r="E623" s="523"/>
      <c r="F623" s="523"/>
      <c r="G623" s="523"/>
      <c r="H623" s="524"/>
    </row>
    <row r="625" spans="1:10">
      <c r="A625" s="63" t="s">
        <v>2374</v>
      </c>
    </row>
    <row r="626" spans="1:10">
      <c r="A626" s="63" t="s">
        <v>2375</v>
      </c>
    </row>
    <row r="628" spans="1:10">
      <c r="A628" s="63" t="s">
        <v>2376</v>
      </c>
    </row>
    <row r="629" spans="1:10">
      <c r="A629" s="63" t="s">
        <v>2377</v>
      </c>
    </row>
    <row r="630" spans="1:10">
      <c r="A630" s="63" t="s">
        <v>2378</v>
      </c>
    </row>
    <row r="631" spans="1:10">
      <c r="A631" s="63" t="s">
        <v>2379</v>
      </c>
    </row>
    <row r="632" spans="1:10">
      <c r="A632" s="63" t="s">
        <v>2380</v>
      </c>
    </row>
    <row r="634" spans="1:10">
      <c r="A634" s="5" t="s">
        <v>2319</v>
      </c>
      <c r="C634" s="527">
        <v>45657</v>
      </c>
      <c r="D634" s="527">
        <v>45291</v>
      </c>
      <c r="E634" s="506" t="s">
        <v>1666</v>
      </c>
      <c r="F634" s="506" t="s">
        <v>1667</v>
      </c>
      <c r="G634" s="506" t="s">
        <v>1668</v>
      </c>
      <c r="H634" s="506" t="s">
        <v>1669</v>
      </c>
      <c r="I634" s="506" t="s">
        <v>66</v>
      </c>
      <c r="J634" s="506" t="s">
        <v>1703</v>
      </c>
    </row>
    <row r="635" spans="1:10">
      <c r="A635" s="5"/>
      <c r="C635" s="638"/>
      <c r="D635" s="638"/>
      <c r="E635" s="504"/>
      <c r="F635" s="504"/>
      <c r="G635" s="504"/>
      <c r="H635" s="691" t="s">
        <v>2382</v>
      </c>
      <c r="I635" s="504"/>
      <c r="J635" s="504"/>
    </row>
    <row r="636" spans="1:10">
      <c r="A636" s="690" t="s">
        <v>2381</v>
      </c>
      <c r="C636" s="667">
        <v>-60</v>
      </c>
      <c r="D636" s="667">
        <v>-20</v>
      </c>
      <c r="E636" s="667">
        <f>C636-D636</f>
        <v>-40</v>
      </c>
      <c r="F636" s="667"/>
      <c r="G636" s="667"/>
      <c r="H636" s="668">
        <f>-E636</f>
        <v>40</v>
      </c>
      <c r="I636" s="667"/>
      <c r="J636" s="666"/>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1:X337"/>
  <sheetViews>
    <sheetView rightToLeft="1" tabSelected="1" topLeftCell="A272" zoomScale="160" zoomScaleNormal="160" workbookViewId="0">
      <selection activeCell="K280" sqref="K280"/>
    </sheetView>
  </sheetViews>
  <sheetFormatPr baseColWidth="10" defaultRowHeight="13"/>
  <sheetData>
    <row r="1" spans="1:8" s="63" customFormat="1" ht="16">
      <c r="A1" s="494" t="s">
        <v>2331</v>
      </c>
      <c r="B1" s="503"/>
      <c r="C1" s="503"/>
      <c r="D1" s="503"/>
      <c r="E1" s="503"/>
      <c r="F1" s="503"/>
      <c r="G1" s="503"/>
      <c r="H1" s="652">
        <v>45785</v>
      </c>
    </row>
    <row r="3" spans="1:8">
      <c r="A3" s="3" t="s">
        <v>2332</v>
      </c>
      <c r="B3" s="3"/>
      <c r="C3" s="3"/>
      <c r="D3" s="3"/>
      <c r="E3" s="3"/>
      <c r="F3" s="3"/>
      <c r="G3" s="3"/>
      <c r="H3" s="3"/>
    </row>
    <row r="4" spans="1:8">
      <c r="A4" s="3" t="s">
        <v>2333</v>
      </c>
      <c r="B4" s="3"/>
      <c r="C4" s="3"/>
      <c r="D4" s="3"/>
      <c r="E4" s="3"/>
      <c r="F4" s="3"/>
      <c r="G4" s="3"/>
      <c r="H4" s="3"/>
    </row>
    <row r="6" spans="1:8">
      <c r="A6" s="3" t="s">
        <v>2334</v>
      </c>
      <c r="B6" s="3"/>
      <c r="C6" s="3"/>
      <c r="D6" s="3"/>
      <c r="E6" s="3"/>
      <c r="F6" s="3"/>
      <c r="G6" s="3"/>
      <c r="H6" s="3"/>
    </row>
    <row r="7" spans="1:8">
      <c r="A7" s="3" t="s">
        <v>2335</v>
      </c>
      <c r="B7" s="3"/>
      <c r="C7" s="3"/>
      <c r="D7" s="3"/>
      <c r="E7" s="3"/>
      <c r="F7" s="3"/>
      <c r="G7" s="3"/>
      <c r="H7" s="3"/>
    </row>
    <row r="8" spans="1:8">
      <c r="A8" s="3"/>
      <c r="B8" s="3"/>
      <c r="C8" s="3"/>
      <c r="D8" s="3"/>
      <c r="E8" s="3"/>
      <c r="F8" s="3"/>
      <c r="G8" s="3"/>
      <c r="H8" s="3"/>
    </row>
    <row r="9" spans="1:8">
      <c r="A9" s="3" t="s">
        <v>2336</v>
      </c>
      <c r="B9" s="3"/>
      <c r="C9" s="3"/>
      <c r="D9" s="3"/>
      <c r="E9" s="3"/>
      <c r="F9" s="3"/>
      <c r="G9" s="3"/>
      <c r="H9" s="3"/>
    </row>
    <row r="10" spans="1:8">
      <c r="A10" s="3"/>
      <c r="B10" s="3"/>
      <c r="C10" s="3"/>
      <c r="D10" s="3"/>
      <c r="E10" s="3"/>
      <c r="F10" s="3"/>
      <c r="G10" s="3"/>
      <c r="H10" s="3"/>
    </row>
    <row r="11" spans="1:8">
      <c r="A11" s="3" t="s">
        <v>2337</v>
      </c>
      <c r="B11" s="3"/>
      <c r="C11" s="3"/>
      <c r="D11" s="3"/>
      <c r="E11" s="3"/>
      <c r="F11" s="3"/>
      <c r="G11" s="3"/>
      <c r="H11" s="3"/>
    </row>
    <row r="12" spans="1:8">
      <c r="A12" s="3"/>
      <c r="B12" s="3"/>
      <c r="C12" s="3"/>
      <c r="D12" s="3"/>
      <c r="E12" s="3"/>
      <c r="F12" s="3"/>
      <c r="G12" s="3"/>
      <c r="H12" s="3"/>
    </row>
    <row r="13" spans="1:8">
      <c r="A13" s="3" t="s">
        <v>2338</v>
      </c>
      <c r="B13" s="3"/>
      <c r="C13" s="3"/>
      <c r="D13" s="3"/>
      <c r="E13" s="3"/>
      <c r="F13" s="3"/>
      <c r="G13" s="3"/>
      <c r="H13" s="3"/>
    </row>
    <row r="14" spans="1:8">
      <c r="A14" s="3" t="s">
        <v>2339</v>
      </c>
      <c r="B14" s="3"/>
      <c r="C14" s="3"/>
      <c r="D14" s="3"/>
      <c r="E14" s="3"/>
      <c r="F14" s="3"/>
      <c r="G14" s="3"/>
      <c r="H14" s="3"/>
    </row>
    <row r="15" spans="1:8">
      <c r="A15" s="3" t="s">
        <v>2340</v>
      </c>
      <c r="B15" s="3"/>
      <c r="C15" s="3"/>
      <c r="D15" s="3"/>
      <c r="E15" s="3"/>
      <c r="F15" s="3"/>
      <c r="G15" s="3"/>
      <c r="H15" s="3"/>
    </row>
    <row r="16" spans="1:8">
      <c r="A16" s="3"/>
      <c r="B16" s="3"/>
      <c r="C16" s="3"/>
      <c r="D16" s="3"/>
      <c r="E16" s="3"/>
      <c r="F16" s="3"/>
      <c r="G16" s="3"/>
      <c r="H16" s="3"/>
    </row>
    <row r="17" spans="1:8">
      <c r="A17" s="3" t="s">
        <v>2341</v>
      </c>
      <c r="B17" s="3"/>
      <c r="C17" s="3"/>
      <c r="D17" s="3"/>
      <c r="E17" s="3"/>
      <c r="F17" s="3"/>
      <c r="G17" s="3"/>
      <c r="H17" s="3"/>
    </row>
    <row r="18" spans="1:8">
      <c r="A18" s="3" t="s">
        <v>2342</v>
      </c>
      <c r="B18" s="3"/>
      <c r="C18" s="3"/>
      <c r="D18" s="3"/>
      <c r="E18" s="3"/>
      <c r="F18" s="3"/>
      <c r="G18" s="3"/>
      <c r="H18" s="3"/>
    </row>
    <row r="20" spans="1:8" s="3" customFormat="1">
      <c r="A20" s="577" t="s">
        <v>1686</v>
      </c>
      <c r="B20" s="577"/>
      <c r="C20" s="577"/>
      <c r="D20" s="577"/>
      <c r="E20" s="577"/>
      <c r="F20" s="577"/>
      <c r="G20" s="577"/>
      <c r="H20" s="577"/>
    </row>
    <row r="21" spans="1:8" s="3" customFormat="1"/>
    <row r="22" spans="1:8" s="3" customFormat="1">
      <c r="A22" s="3" t="s">
        <v>1739</v>
      </c>
    </row>
    <row r="23" spans="1:8" s="3" customFormat="1"/>
    <row r="24" spans="1:8" s="3" customFormat="1">
      <c r="A24" s="3" t="s">
        <v>452</v>
      </c>
      <c r="C24" s="573">
        <v>33238</v>
      </c>
      <c r="D24" s="573">
        <v>32873</v>
      </c>
    </row>
    <row r="25" spans="1:8" s="3" customFormat="1">
      <c r="C25" s="574" t="s">
        <v>644</v>
      </c>
      <c r="D25" s="574" t="s">
        <v>644</v>
      </c>
    </row>
    <row r="26" spans="1:8" s="3" customFormat="1">
      <c r="A26" s="3" t="s">
        <v>1687</v>
      </c>
      <c r="C26" s="448">
        <v>98000</v>
      </c>
      <c r="D26" s="448">
        <v>72000</v>
      </c>
    </row>
    <row r="27" spans="1:8" s="3" customFormat="1">
      <c r="A27" s="3" t="s">
        <v>845</v>
      </c>
      <c r="C27" s="448">
        <v>73000</v>
      </c>
      <c r="D27" s="448">
        <v>49000</v>
      </c>
    </row>
    <row r="28" spans="1:8" s="3" customFormat="1">
      <c r="A28" s="3" t="s">
        <v>931</v>
      </c>
      <c r="C28" s="448">
        <v>28000</v>
      </c>
      <c r="D28" s="448">
        <v>34000</v>
      </c>
    </row>
    <row r="29" spans="1:8" s="3" customFormat="1">
      <c r="A29" s="3" t="s">
        <v>557</v>
      </c>
      <c r="C29" s="448">
        <v>39000</v>
      </c>
      <c r="D29" s="448">
        <v>32000</v>
      </c>
    </row>
    <row r="30" spans="1:8" s="3" customFormat="1">
      <c r="A30" s="593" t="s">
        <v>1740</v>
      </c>
      <c r="B30" s="593"/>
      <c r="C30" s="594">
        <v>230000</v>
      </c>
      <c r="D30" s="594">
        <v>170000</v>
      </c>
    </row>
    <row r="31" spans="1:8" s="3" customFormat="1">
      <c r="A31" s="3" t="s">
        <v>1547</v>
      </c>
      <c r="C31" s="448">
        <v>210000</v>
      </c>
      <c r="D31" s="448">
        <v>190000</v>
      </c>
    </row>
    <row r="32" spans="1:8" s="3" customFormat="1">
      <c r="A32" s="3" t="s">
        <v>1548</v>
      </c>
      <c r="C32" s="448">
        <v>-80000</v>
      </c>
      <c r="D32" s="448">
        <v>-90000</v>
      </c>
    </row>
    <row r="33" spans="1:4" s="3" customFormat="1">
      <c r="C33" s="449">
        <f>SUM(C26:C32)</f>
        <v>598000</v>
      </c>
      <c r="D33" s="449">
        <f>SUM(D26:D32)</f>
        <v>457000</v>
      </c>
    </row>
    <row r="34" spans="1:4" s="3" customFormat="1">
      <c r="C34" s="448"/>
      <c r="D34" s="448"/>
    </row>
    <row r="35" spans="1:4" s="3" customFormat="1">
      <c r="A35" s="3" t="s">
        <v>771</v>
      </c>
      <c r="C35" s="448">
        <v>70000</v>
      </c>
      <c r="D35" s="448">
        <v>70000</v>
      </c>
    </row>
    <row r="36" spans="1:4" s="3" customFormat="1">
      <c r="A36" s="3" t="s">
        <v>1688</v>
      </c>
      <c r="C36" s="448">
        <v>17000</v>
      </c>
      <c r="D36" s="448">
        <v>34000</v>
      </c>
    </row>
    <row r="37" spans="1:4" s="3" customFormat="1">
      <c r="A37" s="3" t="s">
        <v>1741</v>
      </c>
      <c r="C37" s="448">
        <v>72000</v>
      </c>
      <c r="D37" s="448">
        <v>68000</v>
      </c>
    </row>
    <row r="38" spans="1:4" s="3" customFormat="1">
      <c r="A38" s="593" t="s">
        <v>1742</v>
      </c>
      <c r="B38" s="593"/>
      <c r="C38" s="594">
        <v>14000</v>
      </c>
      <c r="D38" s="594">
        <v>0</v>
      </c>
    </row>
    <row r="39" spans="1:4" s="3" customFormat="1">
      <c r="A39" s="3" t="s">
        <v>1743</v>
      </c>
      <c r="C39" s="448">
        <v>75000</v>
      </c>
      <c r="D39" s="448">
        <v>68000</v>
      </c>
    </row>
    <row r="40" spans="1:4" s="3" customFormat="1">
      <c r="A40" s="3" t="s">
        <v>1550</v>
      </c>
      <c r="C40" s="448">
        <v>110000</v>
      </c>
      <c r="D40" s="448">
        <v>90000</v>
      </c>
    </row>
    <row r="41" spans="1:4" s="3" customFormat="1">
      <c r="A41" s="3" t="s">
        <v>1501</v>
      </c>
      <c r="C41" s="448">
        <f>C33-C35-C36-C37-C38-C39-C40</f>
        <v>240000</v>
      </c>
      <c r="D41" s="448">
        <f>D33-D35-D36-D37-D38-D39-D40</f>
        <v>127000</v>
      </c>
    </row>
    <row r="42" spans="1:4" s="3" customFormat="1">
      <c r="C42" s="449">
        <f>SUM(C35:C41)</f>
        <v>598000</v>
      </c>
      <c r="D42" s="449">
        <f>SUM(D35:D41)</f>
        <v>457000</v>
      </c>
    </row>
    <row r="43" spans="1:4" s="3" customFormat="1"/>
    <row r="44" spans="1:4" s="3" customFormat="1">
      <c r="A44" s="3" t="s">
        <v>1744</v>
      </c>
    </row>
    <row r="45" spans="1:4" s="3" customFormat="1">
      <c r="A45" s="3" t="s">
        <v>1751</v>
      </c>
    </row>
    <row r="46" spans="1:4" s="3" customFormat="1">
      <c r="A46" s="3" t="s">
        <v>1791</v>
      </c>
    </row>
    <row r="47" spans="1:4" s="3" customFormat="1">
      <c r="A47" s="3" t="s">
        <v>1745</v>
      </c>
    </row>
    <row r="48" spans="1:4" s="3" customFormat="1">
      <c r="A48" s="3" t="s">
        <v>1746</v>
      </c>
    </row>
    <row r="49" spans="1:16" s="3" customFormat="1">
      <c r="A49" s="3" t="s">
        <v>1747</v>
      </c>
    </row>
    <row r="50" spans="1:16" s="3" customFormat="1">
      <c r="A50" s="3" t="s">
        <v>1748</v>
      </c>
    </row>
    <row r="51" spans="1:16" s="3" customFormat="1"/>
    <row r="52" spans="1:16" s="3" customFormat="1">
      <c r="A52" s="3" t="s">
        <v>1749</v>
      </c>
    </row>
    <row r="53" spans="1:16" s="3" customFormat="1"/>
    <row r="54" spans="1:16" s="3" customFormat="1">
      <c r="A54" s="577" t="s">
        <v>1696</v>
      </c>
      <c r="B54" s="577"/>
      <c r="C54" s="577"/>
      <c r="D54" s="577"/>
      <c r="E54" s="577"/>
      <c r="F54" s="577"/>
      <c r="G54" s="577"/>
      <c r="H54" s="577"/>
    </row>
    <row r="55" spans="1:16" s="3" customFormat="1">
      <c r="C55" s="578" t="s">
        <v>1022</v>
      </c>
      <c r="D55" s="578" t="s">
        <v>1586</v>
      </c>
    </row>
    <row r="56" spans="1:16" s="3" customFormat="1">
      <c r="A56" s="443" t="s">
        <v>1699</v>
      </c>
      <c r="C56" s="656">
        <v>33238</v>
      </c>
      <c r="D56" s="656">
        <v>32873</v>
      </c>
      <c r="E56" s="671" t="s">
        <v>1666</v>
      </c>
      <c r="F56" s="580" t="s">
        <v>1667</v>
      </c>
      <c r="G56" s="580" t="s">
        <v>1668</v>
      </c>
      <c r="H56" s="580" t="s">
        <v>1669</v>
      </c>
      <c r="I56" s="580" t="s">
        <v>66</v>
      </c>
      <c r="J56" s="580" t="s">
        <v>1703</v>
      </c>
    </row>
    <row r="57" spans="1:16" s="3" customFormat="1">
      <c r="A57" s="581"/>
      <c r="B57" s="582"/>
      <c r="C57" s="595"/>
      <c r="D57" s="595"/>
      <c r="E57" s="595"/>
      <c r="F57" s="669"/>
      <c r="G57" s="669"/>
      <c r="H57" s="669"/>
      <c r="I57" s="587" t="s">
        <v>1673</v>
      </c>
      <c r="J57" s="669"/>
      <c r="L57" s="443" t="s">
        <v>1762</v>
      </c>
    </row>
    <row r="58" spans="1:16" s="3" customFormat="1">
      <c r="A58" s="582" t="s">
        <v>1687</v>
      </c>
      <c r="B58" s="582"/>
      <c r="C58" s="587">
        <v>98000</v>
      </c>
      <c r="D58" s="587">
        <v>72000</v>
      </c>
      <c r="E58" s="587">
        <f>C58-D58</f>
        <v>26000</v>
      </c>
      <c r="F58" s="653"/>
      <c r="G58" s="653"/>
      <c r="H58" s="653"/>
      <c r="I58" s="587">
        <f>E58</f>
        <v>26000</v>
      </c>
      <c r="J58" s="653"/>
      <c r="L58" s="488"/>
      <c r="M58" s="488"/>
      <c r="N58" s="488"/>
      <c r="O58" s="488"/>
      <c r="P58" s="488"/>
    </row>
    <row r="59" spans="1:16" s="3" customFormat="1">
      <c r="C59" s="489"/>
      <c r="D59" s="489"/>
      <c r="E59" s="489"/>
      <c r="F59" s="489" t="s">
        <v>1757</v>
      </c>
      <c r="G59" s="584"/>
      <c r="H59" s="584"/>
      <c r="I59" s="584"/>
      <c r="J59" s="584"/>
      <c r="L59" s="620" t="s">
        <v>1721</v>
      </c>
      <c r="M59" s="488"/>
      <c r="N59" s="488"/>
      <c r="O59" s="488"/>
      <c r="P59" s="488"/>
    </row>
    <row r="60" spans="1:16" s="3" customFormat="1">
      <c r="A60" s="3" t="s">
        <v>845</v>
      </c>
      <c r="C60" s="489">
        <v>73000</v>
      </c>
      <c r="D60" s="489">
        <v>49000</v>
      </c>
      <c r="E60" s="489">
        <f>C60-D60</f>
        <v>24000</v>
      </c>
      <c r="F60" s="489">
        <f>-E60</f>
        <v>-24000</v>
      </c>
      <c r="G60" s="584"/>
      <c r="H60" s="584"/>
      <c r="I60" s="584"/>
      <c r="J60" s="584"/>
      <c r="L60" s="488" t="s">
        <v>467</v>
      </c>
      <c r="M60" s="488"/>
      <c r="N60" s="488"/>
      <c r="O60" s="488"/>
      <c r="P60" s="618">
        <f>F83</f>
        <v>128000</v>
      </c>
    </row>
    <row r="61" spans="1:16" s="3" customFormat="1">
      <c r="A61" s="582"/>
      <c r="B61" s="582"/>
      <c r="C61" s="587"/>
      <c r="D61" s="587"/>
      <c r="E61" s="587"/>
      <c r="F61" s="587" t="s">
        <v>1708</v>
      </c>
      <c r="G61" s="653"/>
      <c r="H61" s="653"/>
      <c r="I61" s="653"/>
      <c r="J61" s="653"/>
      <c r="L61" s="488"/>
      <c r="M61" s="488"/>
      <c r="N61" s="488"/>
      <c r="O61" s="488"/>
      <c r="P61" s="488"/>
    </row>
    <row r="62" spans="1:16" s="3" customFormat="1">
      <c r="A62" s="582" t="s">
        <v>931</v>
      </c>
      <c r="B62" s="582"/>
      <c r="C62" s="587">
        <v>28000</v>
      </c>
      <c r="D62" s="587">
        <v>34000</v>
      </c>
      <c r="E62" s="587">
        <f>C62-D62</f>
        <v>-6000</v>
      </c>
      <c r="F62" s="587">
        <f>-E62</f>
        <v>6000</v>
      </c>
      <c r="G62" s="653"/>
      <c r="H62" s="653"/>
      <c r="I62" s="653"/>
      <c r="J62" s="653"/>
      <c r="L62" s="488" t="s">
        <v>1722</v>
      </c>
      <c r="M62" s="488"/>
      <c r="N62" s="488"/>
      <c r="O62" s="488"/>
      <c r="P62" s="488"/>
    </row>
    <row r="63" spans="1:16" s="3" customFormat="1">
      <c r="C63" s="489"/>
      <c r="D63" s="489"/>
      <c r="E63" s="489"/>
      <c r="F63" s="489" t="s">
        <v>1709</v>
      </c>
      <c r="G63" s="584"/>
      <c r="H63" s="584"/>
      <c r="I63" s="584"/>
      <c r="J63" s="584"/>
      <c r="L63" s="488"/>
      <c r="M63" s="488"/>
      <c r="N63" s="488"/>
      <c r="O63" s="488"/>
      <c r="P63" s="488"/>
    </row>
    <row r="64" spans="1:16" s="3" customFormat="1">
      <c r="A64" s="3" t="s">
        <v>557</v>
      </c>
      <c r="C64" s="489">
        <v>39000</v>
      </c>
      <c r="D64" s="489">
        <v>32000</v>
      </c>
      <c r="E64" s="489">
        <f>C64-D64</f>
        <v>7000</v>
      </c>
      <c r="F64" s="489">
        <f>-E64</f>
        <v>-7000</v>
      </c>
      <c r="G64" s="584"/>
      <c r="H64" s="584"/>
      <c r="I64" s="584"/>
      <c r="J64" s="584"/>
      <c r="L64" s="688" t="s">
        <v>1723</v>
      </c>
      <c r="M64" s="488"/>
      <c r="N64" s="488"/>
      <c r="O64" s="488"/>
      <c r="P64" s="488"/>
    </row>
    <row r="65" spans="1:16" s="3" customFormat="1">
      <c r="A65" s="582"/>
      <c r="B65" s="582"/>
      <c r="C65" s="587"/>
      <c r="D65" s="587"/>
      <c r="E65" s="587"/>
      <c r="F65" s="587"/>
      <c r="G65" s="587" t="s">
        <v>1754</v>
      </c>
      <c r="H65" s="587"/>
      <c r="I65" s="587"/>
      <c r="J65" s="587" t="s">
        <v>1752</v>
      </c>
      <c r="L65" s="488"/>
      <c r="M65" s="488" t="s">
        <v>587</v>
      </c>
      <c r="N65" s="488"/>
      <c r="O65" s="488"/>
      <c r="P65" s="618">
        <f>F68</f>
        <v>8000</v>
      </c>
    </row>
    <row r="66" spans="1:16" s="3" customFormat="1">
      <c r="A66" s="582" t="s">
        <v>1740</v>
      </c>
      <c r="B66" s="582"/>
      <c r="C66" s="587">
        <v>230000</v>
      </c>
      <c r="D66" s="587">
        <v>170000</v>
      </c>
      <c r="E66" s="587">
        <f>C66-D66</f>
        <v>60000</v>
      </c>
      <c r="F66" s="587"/>
      <c r="G66" s="587">
        <f>-60000-J66</f>
        <v>-46000</v>
      </c>
      <c r="H66" s="587"/>
      <c r="I66" s="587"/>
      <c r="J66" s="587">
        <f>-14000</f>
        <v>-14000</v>
      </c>
      <c r="L66" s="488"/>
      <c r="M66" s="488" t="s">
        <v>1398</v>
      </c>
      <c r="N66" s="488"/>
      <c r="O66" s="488"/>
      <c r="P66" s="618">
        <f>F70</f>
        <v>-5000</v>
      </c>
    </row>
    <row r="67" spans="1:16" s="3" customFormat="1">
      <c r="C67" s="489"/>
      <c r="D67" s="489"/>
      <c r="E67" s="489"/>
      <c r="F67" s="489" t="s">
        <v>587</v>
      </c>
      <c r="G67" s="489" t="s">
        <v>1754</v>
      </c>
      <c r="H67" s="584"/>
      <c r="I67" s="584"/>
      <c r="J67" s="584"/>
      <c r="L67" s="488"/>
      <c r="M67" s="488"/>
      <c r="N67" s="488"/>
      <c r="O67" s="488"/>
      <c r="P67" s="488"/>
    </row>
    <row r="68" spans="1:16" s="3" customFormat="1">
      <c r="A68" s="3" t="s">
        <v>1750</v>
      </c>
      <c r="C68" s="489">
        <f>C31+C32</f>
        <v>130000</v>
      </c>
      <c r="D68" s="489">
        <f>D31+D32</f>
        <v>100000</v>
      </c>
      <c r="E68" s="489">
        <f>C68-D68</f>
        <v>30000</v>
      </c>
      <c r="F68" s="596">
        <f>D137</f>
        <v>8000</v>
      </c>
      <c r="G68" s="684">
        <f>E132</f>
        <v>-70000</v>
      </c>
      <c r="H68" s="584"/>
      <c r="I68" s="584"/>
      <c r="J68" s="584"/>
      <c r="L68" s="688" t="s">
        <v>1724</v>
      </c>
      <c r="M68" s="488"/>
      <c r="N68" s="488"/>
      <c r="O68" s="488"/>
      <c r="P68" s="488"/>
    </row>
    <row r="69" spans="1:16" s="3" customFormat="1">
      <c r="C69" s="489"/>
      <c r="D69" s="489"/>
      <c r="E69" s="489"/>
      <c r="F69" s="489" t="s">
        <v>1398</v>
      </c>
      <c r="G69" s="489" t="s">
        <v>1759</v>
      </c>
      <c r="H69" s="584"/>
      <c r="I69" s="584"/>
      <c r="J69" s="584"/>
      <c r="L69" s="488"/>
      <c r="M69" s="488" t="s">
        <v>1757</v>
      </c>
      <c r="N69" s="488"/>
      <c r="O69" s="488"/>
      <c r="P69" s="618">
        <f>F60</f>
        <v>-24000</v>
      </c>
    </row>
    <row r="70" spans="1:16" s="3" customFormat="1">
      <c r="C70" s="489"/>
      <c r="D70" s="489"/>
      <c r="E70" s="489"/>
      <c r="F70" s="598">
        <f>D135</f>
        <v>-5000</v>
      </c>
      <c r="G70" s="489">
        <f>E134</f>
        <v>37000</v>
      </c>
      <c r="H70" s="584"/>
      <c r="I70" s="584"/>
      <c r="J70" s="584"/>
      <c r="L70" s="488"/>
      <c r="M70" s="488" t="s">
        <v>1708</v>
      </c>
      <c r="N70" s="488"/>
      <c r="O70" s="488"/>
      <c r="P70" s="618">
        <f>F62</f>
        <v>6000</v>
      </c>
    </row>
    <row r="71" spans="1:16" s="3" customFormat="1">
      <c r="A71" s="582" t="s">
        <v>771</v>
      </c>
      <c r="B71" s="582"/>
      <c r="C71" s="587">
        <f>-C35</f>
        <v>-70000</v>
      </c>
      <c r="D71" s="587">
        <f>-D35</f>
        <v>-70000</v>
      </c>
      <c r="E71" s="587">
        <f>C71-D71</f>
        <v>0</v>
      </c>
      <c r="F71" s="599" t="s">
        <v>1755</v>
      </c>
      <c r="G71" s="599"/>
      <c r="H71" s="599"/>
      <c r="I71" s="599"/>
      <c r="J71" s="599"/>
      <c r="L71" s="488"/>
      <c r="M71" s="488" t="s">
        <v>1709</v>
      </c>
      <c r="N71" s="488"/>
      <c r="O71" s="488"/>
      <c r="P71" s="618">
        <f>F64</f>
        <v>-7000</v>
      </c>
    </row>
    <row r="72" spans="1:16" s="3" customFormat="1">
      <c r="C72" s="489"/>
      <c r="D72" s="489"/>
      <c r="E72" s="489"/>
      <c r="F72" s="489" t="s">
        <v>1758</v>
      </c>
      <c r="G72" s="670"/>
      <c r="H72" s="670"/>
      <c r="I72" s="670"/>
      <c r="J72" s="670"/>
      <c r="L72" s="488"/>
      <c r="M72" s="488" t="s">
        <v>1763</v>
      </c>
      <c r="N72" s="488"/>
      <c r="O72" s="488"/>
      <c r="P72" s="618">
        <f>F73</f>
        <v>-17000</v>
      </c>
    </row>
    <row r="73" spans="1:16" s="3" customFormat="1">
      <c r="A73" s="3" t="s">
        <v>1688</v>
      </c>
      <c r="C73" s="489">
        <f>-C36</f>
        <v>-17000</v>
      </c>
      <c r="D73" s="489">
        <f>-D36</f>
        <v>-34000</v>
      </c>
      <c r="E73" s="489">
        <f>C73-D73</f>
        <v>17000</v>
      </c>
      <c r="F73" s="489">
        <f>-E73</f>
        <v>-17000</v>
      </c>
      <c r="G73" s="584"/>
      <c r="H73" s="584"/>
      <c r="I73" s="584"/>
      <c r="J73" s="584"/>
      <c r="L73" s="488"/>
      <c r="M73" s="488"/>
      <c r="N73" s="488"/>
      <c r="O73" s="488"/>
      <c r="P73" s="488"/>
    </row>
    <row r="74" spans="1:16" s="3" customFormat="1">
      <c r="A74" s="658"/>
      <c r="B74" s="658"/>
      <c r="C74" s="587"/>
      <c r="D74" s="587"/>
      <c r="E74" s="587"/>
      <c r="F74" s="587"/>
      <c r="G74" s="587"/>
      <c r="H74" s="587" t="s">
        <v>1760</v>
      </c>
      <c r="I74" s="587"/>
      <c r="J74" s="587"/>
      <c r="L74" s="488" t="s">
        <v>1725</v>
      </c>
      <c r="M74" s="488"/>
      <c r="N74" s="488"/>
      <c r="O74" s="488"/>
      <c r="P74" s="619">
        <f>SUM(P60:P72)</f>
        <v>89000</v>
      </c>
    </row>
    <row r="75" spans="1:16" s="3" customFormat="1">
      <c r="A75" s="658" t="s">
        <v>1741</v>
      </c>
      <c r="B75" s="658"/>
      <c r="C75" s="587">
        <f>-C37</f>
        <v>-72000</v>
      </c>
      <c r="D75" s="587">
        <f>-D37</f>
        <v>-68000</v>
      </c>
      <c r="E75" s="587">
        <f>C75-D75</f>
        <v>-4000</v>
      </c>
      <c r="F75" s="587"/>
      <c r="G75" s="587"/>
      <c r="H75" s="587">
        <f>D75</f>
        <v>-68000</v>
      </c>
      <c r="I75" s="587"/>
      <c r="J75" s="587"/>
      <c r="L75" s="488"/>
      <c r="M75" s="488"/>
      <c r="N75" s="488"/>
      <c r="O75" s="488"/>
      <c r="P75" s="488"/>
    </row>
    <row r="76" spans="1:16" s="3" customFormat="1">
      <c r="A76" s="658"/>
      <c r="B76" s="658"/>
      <c r="C76" s="587"/>
      <c r="D76" s="587"/>
      <c r="E76" s="587"/>
      <c r="F76" s="587"/>
      <c r="G76" s="587"/>
      <c r="H76" s="587" t="s">
        <v>1761</v>
      </c>
      <c r="I76" s="587"/>
      <c r="J76" s="587"/>
      <c r="L76" s="620" t="s">
        <v>1726</v>
      </c>
      <c r="M76" s="488"/>
      <c r="N76" s="488"/>
      <c r="O76" s="488"/>
      <c r="P76" s="488"/>
    </row>
    <row r="77" spans="1:16" s="3" customFormat="1">
      <c r="A77" s="658"/>
      <c r="B77" s="658"/>
      <c r="C77" s="587"/>
      <c r="D77" s="587"/>
      <c r="E77" s="587"/>
      <c r="F77" s="587"/>
      <c r="G77" s="587"/>
      <c r="H77" s="587">
        <f>-C75</f>
        <v>72000</v>
      </c>
      <c r="I77" s="587"/>
      <c r="J77" s="587"/>
      <c r="L77" s="488" t="s">
        <v>1766</v>
      </c>
      <c r="M77" s="488"/>
      <c r="N77" s="488"/>
      <c r="O77" s="488"/>
      <c r="P77" s="618">
        <f>G66</f>
        <v>-46000</v>
      </c>
    </row>
    <row r="78" spans="1:16" s="3" customFormat="1">
      <c r="C78" s="489"/>
      <c r="D78" s="489"/>
      <c r="E78" s="489"/>
      <c r="F78" s="584"/>
      <c r="G78" s="584"/>
      <c r="H78" s="584"/>
      <c r="I78" s="584"/>
      <c r="J78" s="489" t="s">
        <v>1753</v>
      </c>
      <c r="L78" s="488" t="s">
        <v>1732</v>
      </c>
      <c r="M78" s="488"/>
      <c r="N78" s="488"/>
      <c r="O78" s="488"/>
      <c r="P78" s="618">
        <f>G68</f>
        <v>-70000</v>
      </c>
    </row>
    <row r="79" spans="1:16" s="3" customFormat="1">
      <c r="A79" s="3" t="s">
        <v>1742</v>
      </c>
      <c r="C79" s="489">
        <f>-C38</f>
        <v>-14000</v>
      </c>
      <c r="D79" s="489">
        <f>D38</f>
        <v>0</v>
      </c>
      <c r="E79" s="489">
        <f>C79-D79</f>
        <v>-14000</v>
      </c>
      <c r="F79" s="584"/>
      <c r="G79" s="584"/>
      <c r="H79" s="584"/>
      <c r="I79" s="584"/>
      <c r="J79" s="489">
        <f>-J66</f>
        <v>14000</v>
      </c>
      <c r="L79" s="488" t="s">
        <v>1764</v>
      </c>
      <c r="M79" s="488"/>
      <c r="N79" s="488"/>
      <c r="O79" s="488"/>
      <c r="P79" s="618">
        <f>G70</f>
        <v>37000</v>
      </c>
    </row>
    <row r="80" spans="1:16" s="3" customFormat="1">
      <c r="A80" s="658"/>
      <c r="B80" s="658"/>
      <c r="C80" s="587"/>
      <c r="D80" s="587"/>
      <c r="E80" s="587"/>
      <c r="F80" s="587"/>
      <c r="G80" s="587"/>
      <c r="H80" s="587" t="s">
        <v>1588</v>
      </c>
      <c r="I80" s="587"/>
      <c r="J80" s="587"/>
      <c r="L80" s="488" t="s">
        <v>1733</v>
      </c>
      <c r="M80" s="488"/>
      <c r="N80" s="488"/>
      <c r="O80" s="488"/>
      <c r="P80" s="619">
        <f>SUM(P77:P79)</f>
        <v>-79000</v>
      </c>
    </row>
    <row r="81" spans="1:17" s="3" customFormat="1">
      <c r="A81" s="658" t="s">
        <v>1701</v>
      </c>
      <c r="B81" s="658"/>
      <c r="C81" s="587">
        <f>-(C39+C40)</f>
        <v>-185000</v>
      </c>
      <c r="D81" s="587">
        <f>-(D39+D40)</f>
        <v>-158000</v>
      </c>
      <c r="E81" s="587">
        <f>C81-D81</f>
        <v>-27000</v>
      </c>
      <c r="F81" s="587"/>
      <c r="G81" s="587"/>
      <c r="H81" s="587">
        <f>-E81</f>
        <v>27000</v>
      </c>
      <c r="I81" s="587"/>
      <c r="J81" s="587"/>
      <c r="L81" s="488"/>
      <c r="M81" s="488"/>
      <c r="N81" s="488"/>
      <c r="O81" s="488"/>
      <c r="P81" s="488"/>
    </row>
    <row r="82" spans="1:17" s="3" customFormat="1">
      <c r="C82" s="489"/>
      <c r="D82" s="489"/>
      <c r="E82" s="489"/>
      <c r="F82" s="489" t="s">
        <v>467</v>
      </c>
      <c r="G82" s="489"/>
      <c r="H82" s="489" t="s">
        <v>1756</v>
      </c>
      <c r="I82" s="489"/>
      <c r="J82" s="489"/>
      <c r="L82" s="620" t="s">
        <v>1727</v>
      </c>
      <c r="M82" s="488"/>
      <c r="N82" s="488"/>
      <c r="O82" s="488"/>
      <c r="P82" s="488"/>
    </row>
    <row r="83" spans="1:17" s="3" customFormat="1">
      <c r="A83" s="3" t="s">
        <v>1501</v>
      </c>
      <c r="C83" s="489">
        <f>-C41</f>
        <v>-240000</v>
      </c>
      <c r="D83" s="489">
        <f>-D41</f>
        <v>-127000</v>
      </c>
      <c r="E83" s="489">
        <f>C83-D83</f>
        <v>-113000</v>
      </c>
      <c r="F83" s="489">
        <f>-E83-H83</f>
        <v>128000</v>
      </c>
      <c r="G83" s="489"/>
      <c r="H83" s="489">
        <f>-15000</f>
        <v>-15000</v>
      </c>
      <c r="I83" s="489"/>
      <c r="J83" s="489"/>
      <c r="L83" s="488" t="s">
        <v>1765</v>
      </c>
      <c r="M83" s="488"/>
      <c r="N83" s="488"/>
      <c r="O83" s="488"/>
      <c r="P83" s="618">
        <f>H75</f>
        <v>-68000</v>
      </c>
    </row>
    <row r="84" spans="1:17" s="3" customFormat="1">
      <c r="A84" s="3" t="s">
        <v>436</v>
      </c>
      <c r="C84" s="490">
        <f t="shared" ref="C84:J84" si="0">SUM(C58:C83)</f>
        <v>0</v>
      </c>
      <c r="D84" s="490">
        <f t="shared" si="0"/>
        <v>0</v>
      </c>
      <c r="E84" s="490">
        <f t="shared" si="0"/>
        <v>0</v>
      </c>
      <c r="F84" s="490">
        <f t="shared" si="0"/>
        <v>89000</v>
      </c>
      <c r="G84" s="490">
        <f t="shared" si="0"/>
        <v>-79000</v>
      </c>
      <c r="H84" s="490">
        <f t="shared" si="0"/>
        <v>16000</v>
      </c>
      <c r="I84" s="490">
        <f t="shared" si="0"/>
        <v>26000</v>
      </c>
      <c r="J84" s="490">
        <f t="shared" si="0"/>
        <v>0</v>
      </c>
      <c r="L84" s="488" t="s">
        <v>1734</v>
      </c>
      <c r="M84" s="488"/>
      <c r="N84" s="488"/>
      <c r="O84" s="488"/>
      <c r="P84" s="618">
        <f>H77</f>
        <v>72000</v>
      </c>
    </row>
    <row r="85" spans="1:17" s="3" customFormat="1">
      <c r="I85" s="3" t="s">
        <v>2372</v>
      </c>
      <c r="L85" s="488" t="s">
        <v>1588</v>
      </c>
      <c r="M85" s="488"/>
      <c r="N85" s="488"/>
      <c r="O85" s="488"/>
      <c r="P85" s="618">
        <f>H81</f>
        <v>27000</v>
      </c>
    </row>
    <row r="86" spans="1:17" s="3" customFormat="1">
      <c r="L86" s="488" t="s">
        <v>1715</v>
      </c>
      <c r="M86" s="488"/>
      <c r="N86" s="488"/>
      <c r="O86" s="488"/>
      <c r="P86" s="618">
        <f>H83</f>
        <v>-15000</v>
      </c>
    </row>
    <row r="87" spans="1:17" s="3" customFormat="1">
      <c r="F87" s="3" t="s">
        <v>2371</v>
      </c>
      <c r="L87" s="488" t="s">
        <v>1735</v>
      </c>
      <c r="M87" s="488"/>
      <c r="N87" s="488"/>
      <c r="O87" s="488"/>
      <c r="P87" s="619">
        <f>SUM(P83:P86)</f>
        <v>16000</v>
      </c>
    </row>
    <row r="88" spans="1:17" s="3" customFormat="1">
      <c r="L88" s="615"/>
      <c r="M88" s="615"/>
      <c r="N88" s="615"/>
      <c r="O88" s="615"/>
      <c r="P88" s="615"/>
    </row>
    <row r="89" spans="1:17" s="3" customFormat="1">
      <c r="A89" s="443" t="s">
        <v>2343</v>
      </c>
      <c r="L89" s="488"/>
      <c r="M89" s="488"/>
      <c r="N89" s="488"/>
      <c r="O89" s="488"/>
      <c r="P89" s="488"/>
    </row>
    <row r="90" spans="1:17" s="3" customFormat="1">
      <c r="A90" s="443"/>
      <c r="L90" s="488"/>
      <c r="M90" s="488"/>
      <c r="N90" s="488"/>
      <c r="O90" s="488"/>
      <c r="P90" s="488"/>
    </row>
    <row r="91" spans="1:17" s="3" customFormat="1">
      <c r="A91" s="673" t="s">
        <v>1751</v>
      </c>
      <c r="H91" s="3" t="s">
        <v>2348</v>
      </c>
      <c r="L91" s="620" t="s">
        <v>1728</v>
      </c>
      <c r="M91" s="620"/>
      <c r="N91" s="620"/>
      <c r="O91" s="620"/>
      <c r="P91" s="662">
        <f>P74+P80+P87</f>
        <v>26000</v>
      </c>
    </row>
    <row r="92" spans="1:17" s="3" customFormat="1">
      <c r="L92" s="620" t="s">
        <v>1729</v>
      </c>
      <c r="M92" s="620"/>
      <c r="N92" s="620"/>
      <c r="O92" s="620"/>
      <c r="P92" s="662">
        <f>D58</f>
        <v>72000</v>
      </c>
    </row>
    <row r="93" spans="1:17" s="3" customFormat="1">
      <c r="A93" s="3" t="s">
        <v>1922</v>
      </c>
      <c r="C93" s="626" t="s">
        <v>2345</v>
      </c>
      <c r="D93" s="626" t="s">
        <v>1667</v>
      </c>
      <c r="E93" s="626" t="s">
        <v>1668</v>
      </c>
      <c r="F93" s="626" t="s">
        <v>1669</v>
      </c>
      <c r="G93" s="626" t="s">
        <v>1703</v>
      </c>
      <c r="L93" s="620" t="s">
        <v>1730</v>
      </c>
      <c r="M93" s="620"/>
      <c r="N93" s="620"/>
      <c r="O93" s="620"/>
      <c r="P93" s="689">
        <f>P91+P92</f>
        <v>98000</v>
      </c>
    </row>
    <row r="94" spans="1:17" s="3" customFormat="1">
      <c r="B94" s="3" t="s">
        <v>1586</v>
      </c>
      <c r="C94" s="578" t="s">
        <v>88</v>
      </c>
      <c r="D94" s="672"/>
      <c r="E94" s="672"/>
      <c r="F94" s="672"/>
      <c r="G94" s="672"/>
      <c r="L94" s="488"/>
      <c r="M94" s="488"/>
      <c r="N94" s="488"/>
      <c r="O94" s="488"/>
      <c r="P94" s="488"/>
      <c r="Q94" s="488"/>
    </row>
    <row r="95" spans="1:17" s="3" customFormat="1">
      <c r="B95" s="3" t="s">
        <v>1754</v>
      </c>
      <c r="C95" s="578" t="s">
        <v>88</v>
      </c>
      <c r="D95" s="578"/>
      <c r="E95" s="578" t="s">
        <v>89</v>
      </c>
      <c r="F95" s="578"/>
      <c r="G95" s="578"/>
      <c r="L95" s="688" t="s">
        <v>1797</v>
      </c>
      <c r="M95" s="488"/>
      <c r="N95" s="488"/>
      <c r="O95" s="488"/>
      <c r="P95" s="488"/>
      <c r="Q95" s="488"/>
    </row>
    <row r="96" spans="1:17" s="3" customFormat="1">
      <c r="B96" s="3" t="s">
        <v>1752</v>
      </c>
      <c r="C96" s="578" t="s">
        <v>88</v>
      </c>
      <c r="D96" s="578"/>
      <c r="F96" s="578"/>
      <c r="G96" s="578" t="s">
        <v>89</v>
      </c>
      <c r="H96" s="3" t="s">
        <v>2346</v>
      </c>
      <c r="L96" s="488" t="s">
        <v>1798</v>
      </c>
      <c r="M96" s="488"/>
      <c r="N96" s="488"/>
      <c r="O96" s="488"/>
      <c r="P96" s="488"/>
      <c r="Q96" s="488"/>
    </row>
    <row r="97" spans="1:17" s="3" customFormat="1">
      <c r="B97" s="3" t="s">
        <v>1759</v>
      </c>
      <c r="C97" s="578" t="s">
        <v>89</v>
      </c>
      <c r="D97" s="578"/>
      <c r="E97" s="578" t="s">
        <v>88</v>
      </c>
      <c r="F97" s="578"/>
      <c r="G97" s="578"/>
      <c r="L97" s="488"/>
      <c r="M97" s="488"/>
      <c r="N97" s="488"/>
      <c r="O97" s="488"/>
      <c r="P97" s="488"/>
      <c r="Q97" s="488"/>
    </row>
    <row r="98" spans="1:17" s="3" customFormat="1">
      <c r="B98" s="3" t="s">
        <v>1398</v>
      </c>
      <c r="C98" s="578" t="s">
        <v>88</v>
      </c>
      <c r="D98" s="578" t="s">
        <v>89</v>
      </c>
      <c r="E98" s="578"/>
      <c r="F98" s="578"/>
      <c r="G98" s="578"/>
      <c r="L98" s="488"/>
      <c r="M98" s="488"/>
      <c r="N98" s="488"/>
      <c r="O98" s="488"/>
      <c r="P98" s="488"/>
      <c r="Q98" s="488"/>
    </row>
    <row r="99" spans="1:17" s="3" customFormat="1">
      <c r="B99" s="3" t="s">
        <v>2344</v>
      </c>
      <c r="C99" s="578" t="s">
        <v>89</v>
      </c>
      <c r="D99" s="578" t="s">
        <v>88</v>
      </c>
      <c r="E99" s="578"/>
      <c r="F99" s="578"/>
      <c r="G99" s="578"/>
      <c r="L99" s="488"/>
      <c r="M99" s="488"/>
      <c r="N99" s="488"/>
      <c r="O99" s="488"/>
      <c r="P99" s="488"/>
      <c r="Q99" s="488"/>
    </row>
    <row r="100" spans="1:17" s="3" customFormat="1">
      <c r="B100" s="3" t="s">
        <v>1022</v>
      </c>
      <c r="C100" s="579" t="s">
        <v>91</v>
      </c>
      <c r="D100" s="672"/>
      <c r="E100" s="672"/>
      <c r="F100" s="672"/>
      <c r="G100" s="672"/>
      <c r="L100" s="488"/>
      <c r="M100" s="488"/>
      <c r="N100" s="488"/>
      <c r="O100" s="488"/>
      <c r="P100" s="488"/>
      <c r="Q100" s="488"/>
    </row>
    <row r="101" spans="1:17" s="3" customFormat="1">
      <c r="L101" s="488"/>
      <c r="M101" s="488"/>
      <c r="N101" s="488"/>
      <c r="O101" s="488"/>
      <c r="P101" s="488"/>
      <c r="Q101" s="488"/>
    </row>
    <row r="102" spans="1:17" s="3" customFormat="1">
      <c r="A102" s="3" t="s">
        <v>2347</v>
      </c>
    </row>
    <row r="103" spans="1:17" s="3" customFormat="1">
      <c r="C103" s="626" t="s">
        <v>2345</v>
      </c>
      <c r="D103" s="626" t="s">
        <v>1667</v>
      </c>
      <c r="E103" s="626" t="s">
        <v>1668</v>
      </c>
      <c r="F103" s="626" t="s">
        <v>1669</v>
      </c>
      <c r="G103" s="626" t="s">
        <v>1703</v>
      </c>
    </row>
    <row r="104" spans="1:17" s="3" customFormat="1">
      <c r="B104" s="3" t="s">
        <v>1586</v>
      </c>
      <c r="C104" s="625">
        <v>170000</v>
      </c>
      <c r="D104" s="672"/>
      <c r="E104" s="672"/>
      <c r="F104" s="672"/>
      <c r="G104" s="672"/>
    </row>
    <row r="105" spans="1:17" s="3" customFormat="1">
      <c r="A105" s="3" t="s">
        <v>1508</v>
      </c>
      <c r="B105" s="3" t="s">
        <v>1754</v>
      </c>
      <c r="C105" s="627">
        <f>C110-C106-C104</f>
        <v>46000</v>
      </c>
      <c r="D105" s="578"/>
      <c r="E105" s="448">
        <f>-C105</f>
        <v>-46000</v>
      </c>
      <c r="F105" s="578"/>
      <c r="G105" s="578"/>
    </row>
    <row r="106" spans="1:17" s="3" customFormat="1">
      <c r="B106" s="3" t="s">
        <v>1752</v>
      </c>
      <c r="C106" s="625">
        <v>14000</v>
      </c>
      <c r="D106" s="578"/>
      <c r="F106" s="578"/>
      <c r="G106" s="448">
        <f>-C106</f>
        <v>-14000</v>
      </c>
      <c r="H106" s="3" t="s">
        <v>2346</v>
      </c>
    </row>
    <row r="107" spans="1:17" s="3" customFormat="1">
      <c r="B107" s="3" t="s">
        <v>1759</v>
      </c>
      <c r="C107" s="578">
        <v>0</v>
      </c>
      <c r="D107" s="578"/>
      <c r="E107" s="578">
        <v>0</v>
      </c>
      <c r="F107" s="578"/>
      <c r="G107" s="578"/>
    </row>
    <row r="108" spans="1:17" s="3" customFormat="1">
      <c r="B108" s="3" t="s">
        <v>1398</v>
      </c>
      <c r="C108" s="578">
        <v>0</v>
      </c>
      <c r="D108" s="578">
        <v>0</v>
      </c>
      <c r="E108" s="578"/>
      <c r="F108" s="578"/>
      <c r="G108" s="578"/>
    </row>
    <row r="109" spans="1:17" s="3" customFormat="1">
      <c r="B109" s="3" t="s">
        <v>2344</v>
      </c>
      <c r="C109" s="578">
        <v>0</v>
      </c>
      <c r="D109" s="578">
        <v>0</v>
      </c>
      <c r="E109" s="578"/>
      <c r="F109" s="578"/>
      <c r="G109" s="578"/>
    </row>
    <row r="110" spans="1:17" s="3" customFormat="1">
      <c r="B110" s="3" t="s">
        <v>1022</v>
      </c>
      <c r="C110" s="629">
        <v>230000</v>
      </c>
      <c r="D110" s="672"/>
      <c r="E110" s="672"/>
      <c r="F110" s="672"/>
      <c r="G110" s="672"/>
    </row>
    <row r="111" spans="1:17" s="3" customFormat="1">
      <c r="C111" s="578"/>
      <c r="D111" s="578"/>
      <c r="E111" s="578"/>
      <c r="F111" s="578"/>
      <c r="G111" s="578"/>
    </row>
    <row r="112" spans="1:17" s="3" customFormat="1">
      <c r="A112" s="673" t="s">
        <v>2349</v>
      </c>
    </row>
    <row r="113" spans="1:14" s="3" customFormat="1">
      <c r="A113" s="673" t="s">
        <v>1745</v>
      </c>
    </row>
    <row r="114" spans="1:14" s="3" customFormat="1"/>
    <row r="115" spans="1:14" s="3" customFormat="1">
      <c r="A115" s="3" t="s">
        <v>1792</v>
      </c>
    </row>
    <row r="116" spans="1:14" s="3" customFormat="1">
      <c r="A116" s="3" t="s">
        <v>1793</v>
      </c>
    </row>
    <row r="117" spans="1:14" s="3" customFormat="1">
      <c r="A117" s="3" t="s">
        <v>1794</v>
      </c>
    </row>
    <row r="118" spans="1:14" s="3" customFormat="1">
      <c r="A118" s="3" t="s">
        <v>1795</v>
      </c>
    </row>
    <row r="119" spans="1:14" s="3" customFormat="1"/>
    <row r="120" spans="1:14" s="3" customFormat="1">
      <c r="A120" s="443" t="s">
        <v>2350</v>
      </c>
      <c r="C120" s="626" t="s">
        <v>2345</v>
      </c>
      <c r="D120" s="626" t="s">
        <v>1667</v>
      </c>
      <c r="E120" s="626" t="s">
        <v>1668</v>
      </c>
      <c r="F120" s="626" t="s">
        <v>1669</v>
      </c>
      <c r="G120" s="626" t="s">
        <v>1703</v>
      </c>
      <c r="J120" s="3" t="s">
        <v>2351</v>
      </c>
    </row>
    <row r="121" spans="1:14" s="3" customFormat="1" ht="14" thickBot="1">
      <c r="B121" s="3" t="s">
        <v>1586</v>
      </c>
      <c r="C121" s="578" t="s">
        <v>88</v>
      </c>
      <c r="D121" s="672"/>
      <c r="E121" s="672"/>
      <c r="F121" s="672"/>
      <c r="G121" s="672"/>
    </row>
    <row r="122" spans="1:14" s="3" customFormat="1">
      <c r="B122" s="3" t="s">
        <v>1754</v>
      </c>
      <c r="C122" s="578" t="s">
        <v>88</v>
      </c>
      <c r="D122" s="578"/>
      <c r="E122" s="578" t="s">
        <v>89</v>
      </c>
      <c r="F122" s="578"/>
      <c r="G122" s="578"/>
      <c r="J122" s="569" t="s">
        <v>2352</v>
      </c>
      <c r="K122" s="453"/>
      <c r="L122" s="569" t="s">
        <v>2353</v>
      </c>
      <c r="M122" s="570"/>
      <c r="N122" s="453"/>
    </row>
    <row r="123" spans="1:14" s="3" customFormat="1">
      <c r="B123" s="3" t="s">
        <v>1752</v>
      </c>
      <c r="C123" s="578" t="s">
        <v>88</v>
      </c>
      <c r="D123" s="578"/>
      <c r="F123" s="578"/>
      <c r="G123" s="578" t="s">
        <v>89</v>
      </c>
      <c r="H123" s="3" t="s">
        <v>2346</v>
      </c>
      <c r="J123" s="454" t="s">
        <v>1586</v>
      </c>
      <c r="K123" s="477" t="s">
        <v>88</v>
      </c>
      <c r="L123" s="454" t="s">
        <v>1586</v>
      </c>
      <c r="M123" s="578" t="s">
        <v>88</v>
      </c>
      <c r="N123" s="571" t="s">
        <v>2355</v>
      </c>
    </row>
    <row r="124" spans="1:14" s="3" customFormat="1">
      <c r="B124" s="3" t="s">
        <v>1759</v>
      </c>
      <c r="C124" s="578" t="s">
        <v>89</v>
      </c>
      <c r="D124" s="578"/>
      <c r="E124" s="578" t="s">
        <v>88</v>
      </c>
      <c r="F124" s="578"/>
      <c r="G124" s="578"/>
      <c r="J124" s="454" t="s">
        <v>1754</v>
      </c>
      <c r="K124" s="477" t="s">
        <v>88</v>
      </c>
      <c r="L124" s="454" t="s">
        <v>587</v>
      </c>
      <c r="M124" s="578" t="s">
        <v>88</v>
      </c>
      <c r="N124" s="571"/>
    </row>
    <row r="125" spans="1:14" s="3" customFormat="1">
      <c r="B125" s="3" t="s">
        <v>1398</v>
      </c>
      <c r="C125" s="578" t="s">
        <v>88</v>
      </c>
      <c r="D125" s="578" t="s">
        <v>89</v>
      </c>
      <c r="E125" s="578"/>
      <c r="F125" s="578"/>
      <c r="G125" s="578"/>
      <c r="J125" s="454" t="s">
        <v>1752</v>
      </c>
      <c r="K125" s="477" t="s">
        <v>88</v>
      </c>
      <c r="L125" s="454" t="s">
        <v>2356</v>
      </c>
      <c r="M125" s="578" t="s">
        <v>89</v>
      </c>
      <c r="N125" s="571" t="s">
        <v>2358</v>
      </c>
    </row>
    <row r="126" spans="1:14" s="3" customFormat="1" ht="14" thickBot="1">
      <c r="B126" s="3" t="s">
        <v>2344</v>
      </c>
      <c r="C126" s="578" t="s">
        <v>89</v>
      </c>
      <c r="D126" s="578" t="s">
        <v>88</v>
      </c>
      <c r="E126" s="578"/>
      <c r="F126" s="578"/>
      <c r="G126" s="578"/>
      <c r="J126" s="454" t="s">
        <v>2354</v>
      </c>
      <c r="K126" s="477" t="s">
        <v>89</v>
      </c>
      <c r="L126" s="589" t="s">
        <v>1022</v>
      </c>
      <c r="M126" s="676" t="s">
        <v>91</v>
      </c>
      <c r="N126" s="571"/>
    </row>
    <row r="127" spans="1:14" s="3" customFormat="1" ht="15" thickTop="1" thickBot="1">
      <c r="B127" s="3" t="s">
        <v>587</v>
      </c>
      <c r="C127" s="578" t="s">
        <v>89</v>
      </c>
      <c r="D127" s="578" t="s">
        <v>88</v>
      </c>
      <c r="E127" s="578"/>
      <c r="F127" s="578"/>
      <c r="G127" s="578"/>
      <c r="J127" s="591" t="s">
        <v>1022</v>
      </c>
      <c r="K127" s="679" t="s">
        <v>91</v>
      </c>
      <c r="L127" s="457"/>
      <c r="M127" s="458"/>
      <c r="N127" s="572"/>
    </row>
    <row r="128" spans="1:14" s="3" customFormat="1">
      <c r="B128" s="3" t="s">
        <v>1022</v>
      </c>
      <c r="C128" s="579" t="s">
        <v>91</v>
      </c>
      <c r="D128" s="672"/>
      <c r="E128" s="672"/>
      <c r="F128" s="672"/>
      <c r="G128" s="672"/>
    </row>
    <row r="129" spans="1:14" s="3" customFormat="1"/>
    <row r="130" spans="1:14" s="3" customFormat="1">
      <c r="A130" s="443" t="s">
        <v>2357</v>
      </c>
      <c r="C130" s="626" t="s">
        <v>2345</v>
      </c>
      <c r="D130" s="626" t="s">
        <v>1667</v>
      </c>
      <c r="E130" s="626" t="s">
        <v>1668</v>
      </c>
      <c r="F130" s="626" t="s">
        <v>1669</v>
      </c>
      <c r="G130" s="626" t="s">
        <v>1703</v>
      </c>
      <c r="J130" s="3" t="s">
        <v>2351</v>
      </c>
    </row>
    <row r="131" spans="1:14" s="3" customFormat="1" ht="14" thickBot="1">
      <c r="B131" s="3" t="s">
        <v>1586</v>
      </c>
      <c r="C131" s="448">
        <v>100000</v>
      </c>
      <c r="D131" s="675"/>
      <c r="E131" s="675"/>
      <c r="F131" s="675"/>
      <c r="G131" s="675"/>
    </row>
    <row r="132" spans="1:14" s="3" customFormat="1">
      <c r="B132" s="3" t="s">
        <v>1754</v>
      </c>
      <c r="C132" s="681">
        <f>K134</f>
        <v>70000</v>
      </c>
      <c r="D132" s="448"/>
      <c r="E132" s="681">
        <f>-C132</f>
        <v>-70000</v>
      </c>
      <c r="F132" s="448"/>
      <c r="G132" s="448"/>
      <c r="J132" s="569" t="s">
        <v>2352</v>
      </c>
      <c r="K132" s="453"/>
      <c r="L132" s="569" t="s">
        <v>2353</v>
      </c>
      <c r="M132" s="570"/>
      <c r="N132" s="453"/>
    </row>
    <row r="133" spans="1:14" s="3" customFormat="1">
      <c r="B133" s="3" t="s">
        <v>1752</v>
      </c>
      <c r="C133" s="448">
        <v>0</v>
      </c>
      <c r="D133" s="448"/>
      <c r="E133" s="447"/>
      <c r="F133" s="448"/>
      <c r="G133" s="448">
        <v>0</v>
      </c>
      <c r="H133" s="3" t="s">
        <v>2346</v>
      </c>
      <c r="J133" s="454" t="s">
        <v>1586</v>
      </c>
      <c r="K133" s="674">
        <v>190000</v>
      </c>
      <c r="L133" s="454" t="s">
        <v>1586</v>
      </c>
      <c r="M133" s="448">
        <v>90000</v>
      </c>
      <c r="N133" s="571" t="s">
        <v>2355</v>
      </c>
    </row>
    <row r="134" spans="1:14" s="3" customFormat="1">
      <c r="B134" s="3" t="s">
        <v>1759</v>
      </c>
      <c r="C134" s="448">
        <v>-37000</v>
      </c>
      <c r="D134" s="448"/>
      <c r="E134" s="448">
        <f>-C134</f>
        <v>37000</v>
      </c>
      <c r="F134" s="448"/>
      <c r="G134" s="448"/>
      <c r="J134" s="454" t="s">
        <v>1754</v>
      </c>
      <c r="K134" s="680">
        <f>K137-K135-K136-K133</f>
        <v>70000</v>
      </c>
      <c r="L134" s="454" t="s">
        <v>587</v>
      </c>
      <c r="M134" s="677">
        <f>M136-M135-M133</f>
        <v>8000</v>
      </c>
      <c r="N134" s="678" t="s">
        <v>1508</v>
      </c>
    </row>
    <row r="135" spans="1:14" s="3" customFormat="1">
      <c r="B135" s="3" t="s">
        <v>1398</v>
      </c>
      <c r="C135" s="683">
        <f>D144</f>
        <v>5000</v>
      </c>
      <c r="D135" s="683">
        <f>-C135</f>
        <v>-5000</v>
      </c>
      <c r="E135" s="448"/>
      <c r="F135" s="448"/>
      <c r="G135" s="448"/>
      <c r="J135" s="454" t="s">
        <v>1752</v>
      </c>
      <c r="K135" s="674">
        <v>0</v>
      </c>
      <c r="L135" s="454" t="s">
        <v>2356</v>
      </c>
      <c r="M135" s="448">
        <v>-18000</v>
      </c>
      <c r="N135" s="571" t="s">
        <v>2358</v>
      </c>
    </row>
    <row r="136" spans="1:14" s="3" customFormat="1" ht="14" thickBot="1">
      <c r="B136" s="3" t="s">
        <v>2344</v>
      </c>
      <c r="C136" s="448">
        <v>0</v>
      </c>
      <c r="D136" s="448">
        <v>0</v>
      </c>
      <c r="E136" s="448"/>
      <c r="F136" s="448"/>
      <c r="G136" s="448"/>
      <c r="J136" s="454" t="s">
        <v>2354</v>
      </c>
      <c r="K136" s="674">
        <v>-50000</v>
      </c>
      <c r="L136" s="589" t="s">
        <v>1022</v>
      </c>
      <c r="M136" s="676">
        <v>80000</v>
      </c>
      <c r="N136" s="571"/>
    </row>
    <row r="137" spans="1:14" s="3" customFormat="1" ht="15" thickTop="1" thickBot="1">
      <c r="B137" s="3" t="s">
        <v>587</v>
      </c>
      <c r="C137" s="677">
        <f>-M134</f>
        <v>-8000</v>
      </c>
      <c r="D137" s="677">
        <f>-C137</f>
        <v>8000</v>
      </c>
      <c r="E137" s="448"/>
      <c r="F137" s="448"/>
      <c r="G137" s="448"/>
      <c r="J137" s="591" t="s">
        <v>1022</v>
      </c>
      <c r="K137" s="679">
        <v>210000</v>
      </c>
      <c r="L137" s="457"/>
      <c r="M137" s="458"/>
      <c r="N137" s="572"/>
    </row>
    <row r="138" spans="1:14" s="3" customFormat="1">
      <c r="B138" s="3" t="s">
        <v>1022</v>
      </c>
      <c r="C138" s="449">
        <v>130000</v>
      </c>
      <c r="D138" s="675"/>
      <c r="E138" s="675"/>
      <c r="F138" s="675"/>
      <c r="G138" s="675"/>
    </row>
    <row r="139" spans="1:14" s="3" customFormat="1"/>
    <row r="140" spans="1:14" s="3" customFormat="1">
      <c r="B140" s="3" t="s">
        <v>2359</v>
      </c>
    </row>
    <row r="141" spans="1:14" s="3" customFormat="1"/>
    <row r="142" spans="1:14" s="3" customFormat="1">
      <c r="B142" s="3" t="s">
        <v>2360</v>
      </c>
      <c r="D142" s="447">
        <f>-C134</f>
        <v>37000</v>
      </c>
    </row>
    <row r="143" spans="1:14" s="3" customFormat="1">
      <c r="B143" s="3" t="s">
        <v>2361</v>
      </c>
      <c r="D143" s="447">
        <f>(50000-18000)</f>
        <v>32000</v>
      </c>
      <c r="F143" s="3" t="s">
        <v>1796</v>
      </c>
    </row>
    <row r="144" spans="1:14" s="3" customFormat="1">
      <c r="B144" s="3" t="s">
        <v>2362</v>
      </c>
      <c r="D144" s="682">
        <f>D142-D143</f>
        <v>5000</v>
      </c>
    </row>
    <row r="145" spans="1:12" s="3" customFormat="1" ht="14" customHeight="1"/>
    <row r="146" spans="1:12" s="3" customFormat="1">
      <c r="A146" s="673" t="s">
        <v>1748</v>
      </c>
    </row>
    <row r="147" spans="1:12" s="3" customFormat="1"/>
    <row r="148" spans="1:12" s="3" customFormat="1">
      <c r="A148" s="3" t="s">
        <v>2363</v>
      </c>
    </row>
    <row r="149" spans="1:12" s="3" customFormat="1"/>
    <row r="150" spans="1:12" s="3" customFormat="1">
      <c r="B150" s="443" t="s">
        <v>2364</v>
      </c>
      <c r="D150" s="626" t="s">
        <v>2368</v>
      </c>
      <c r="E150" s="626" t="s">
        <v>1667</v>
      </c>
      <c r="F150" s="626" t="s">
        <v>1669</v>
      </c>
      <c r="G150" s="626" t="s">
        <v>1703</v>
      </c>
      <c r="H150" s="578"/>
      <c r="I150" s="578"/>
      <c r="J150" s="578"/>
      <c r="K150" s="578"/>
      <c r="L150" s="578"/>
    </row>
    <row r="151" spans="1:12" s="3" customFormat="1">
      <c r="B151" s="3" t="s">
        <v>1586</v>
      </c>
      <c r="D151" s="578" t="s">
        <v>89</v>
      </c>
      <c r="E151" s="672"/>
      <c r="F151" s="672"/>
      <c r="G151" s="672"/>
      <c r="H151" s="578" t="s">
        <v>556</v>
      </c>
      <c r="I151" s="578"/>
      <c r="J151" s="626" t="s">
        <v>2368</v>
      </c>
      <c r="K151" s="626" t="s">
        <v>1669</v>
      </c>
      <c r="L151" s="626" t="s">
        <v>1703</v>
      </c>
    </row>
    <row r="152" spans="1:12" s="3" customFormat="1">
      <c r="B152" s="3" t="s">
        <v>467</v>
      </c>
      <c r="D152" s="578" t="s">
        <v>89</v>
      </c>
      <c r="E152" s="578" t="s">
        <v>88</v>
      </c>
      <c r="H152" s="3" t="s">
        <v>1586</v>
      </c>
      <c r="J152" s="578" t="s">
        <v>89</v>
      </c>
      <c r="K152" s="685"/>
      <c r="L152" s="685"/>
    </row>
    <row r="153" spans="1:12" s="3" customFormat="1">
      <c r="B153" s="3" t="s">
        <v>2365</v>
      </c>
      <c r="D153" s="578" t="s">
        <v>88</v>
      </c>
      <c r="E153" s="578" t="s">
        <v>89</v>
      </c>
      <c r="H153" s="3" t="s">
        <v>2369</v>
      </c>
      <c r="J153" s="578" t="s">
        <v>88</v>
      </c>
      <c r="K153" s="578" t="s">
        <v>89</v>
      </c>
    </row>
    <row r="154" spans="1:12" s="3" customFormat="1">
      <c r="B154" s="3" t="s">
        <v>2366</v>
      </c>
      <c r="D154" s="578" t="s">
        <v>88</v>
      </c>
      <c r="G154" s="578" t="s">
        <v>89</v>
      </c>
      <c r="H154" s="3" t="s">
        <v>2366</v>
      </c>
      <c r="J154" s="578" t="s">
        <v>89</v>
      </c>
      <c r="L154" s="578" t="s">
        <v>88</v>
      </c>
    </row>
    <row r="155" spans="1:12" s="3" customFormat="1">
      <c r="B155" s="3" t="s">
        <v>2367</v>
      </c>
      <c r="D155" s="578" t="s">
        <v>88</v>
      </c>
      <c r="F155" s="578" t="s">
        <v>89</v>
      </c>
      <c r="J155" s="579" t="s">
        <v>91</v>
      </c>
      <c r="K155" s="686"/>
      <c r="L155" s="686"/>
    </row>
    <row r="156" spans="1:12" s="3" customFormat="1">
      <c r="B156" s="3" t="s">
        <v>1022</v>
      </c>
      <c r="D156" s="579" t="s">
        <v>91</v>
      </c>
      <c r="E156" s="686"/>
      <c r="F156" s="686"/>
      <c r="G156" s="686"/>
    </row>
    <row r="157" spans="1:12" s="3" customFormat="1"/>
    <row r="158" spans="1:12" s="3" customFormat="1">
      <c r="A158" s="3" t="s">
        <v>2370</v>
      </c>
    </row>
    <row r="159" spans="1:12" s="3" customFormat="1"/>
    <row r="160" spans="1:12" s="3" customFormat="1">
      <c r="B160" s="443" t="s">
        <v>2364</v>
      </c>
      <c r="D160" s="628" t="s">
        <v>2368</v>
      </c>
      <c r="E160" s="626" t="s">
        <v>1667</v>
      </c>
      <c r="F160" s="626" t="s">
        <v>1669</v>
      </c>
      <c r="G160" s="626" t="s">
        <v>1703</v>
      </c>
    </row>
    <row r="161" spans="1:24" s="3" customFormat="1">
      <c r="B161" s="3" t="s">
        <v>1586</v>
      </c>
      <c r="D161" s="448">
        <v>-127000</v>
      </c>
      <c r="E161" s="672"/>
      <c r="F161" s="672"/>
      <c r="G161" s="672"/>
    </row>
    <row r="162" spans="1:24" s="3" customFormat="1">
      <c r="B162" s="3" t="s">
        <v>467</v>
      </c>
      <c r="D162" s="687">
        <f>D166-D165-D164-D161</f>
        <v>-128000</v>
      </c>
      <c r="E162" s="687">
        <f>-D162</f>
        <v>128000</v>
      </c>
      <c r="F162" s="448"/>
      <c r="G162" s="448"/>
    </row>
    <row r="163" spans="1:24" s="3" customFormat="1">
      <c r="B163" s="3" t="s">
        <v>2365</v>
      </c>
      <c r="D163" s="448">
        <v>0</v>
      </c>
      <c r="E163" s="448"/>
      <c r="F163" s="448"/>
      <c r="G163" s="448"/>
    </row>
    <row r="164" spans="1:24" s="3" customFormat="1">
      <c r="B164" s="3" t="s">
        <v>2366</v>
      </c>
      <c r="D164" s="448">
        <v>0</v>
      </c>
      <c r="E164" s="448"/>
      <c r="F164" s="448"/>
      <c r="G164" s="448"/>
    </row>
    <row r="165" spans="1:24" s="3" customFormat="1">
      <c r="B165" s="3" t="s">
        <v>2367</v>
      </c>
      <c r="D165" s="448">
        <v>15000</v>
      </c>
      <c r="E165" s="448"/>
      <c r="F165" s="448">
        <f>-D165</f>
        <v>-15000</v>
      </c>
      <c r="G165" s="448"/>
    </row>
    <row r="166" spans="1:24" s="3" customFormat="1">
      <c r="B166" s="3" t="s">
        <v>1022</v>
      </c>
      <c r="D166" s="448">
        <v>-240000</v>
      </c>
      <c r="E166" s="672"/>
      <c r="F166" s="672"/>
      <c r="G166" s="672"/>
    </row>
    <row r="167" spans="1:24" s="3" customFormat="1" ht="14" thickBot="1"/>
    <row r="168" spans="1:24" s="2" customFormat="1" ht="17" thickBot="1">
      <c r="A168" s="161" t="s">
        <v>1542</v>
      </c>
      <c r="B168" s="551"/>
      <c r="C168" s="551"/>
      <c r="D168" s="551"/>
      <c r="E168" s="551"/>
      <c r="F168" s="551"/>
      <c r="G168" s="551"/>
      <c r="H168" s="566"/>
    </row>
    <row r="169" spans="1:24" s="2" customFormat="1" ht="16">
      <c r="H169"/>
    </row>
    <row r="170" spans="1:24" s="2" customFormat="1" ht="16">
      <c r="A170" s="2" t="s">
        <v>1543</v>
      </c>
      <c r="H170"/>
    </row>
    <row r="171" spans="1:24" s="2" customFormat="1" ht="16">
      <c r="H171"/>
    </row>
    <row r="172" spans="1:24" s="2" customFormat="1" ht="17" thickBot="1">
      <c r="D172" s="2" t="s">
        <v>1544</v>
      </c>
      <c r="E172" s="552">
        <v>45657</v>
      </c>
      <c r="F172" s="552">
        <v>45291</v>
      </c>
    </row>
    <row r="173" spans="1:24" s="2" customFormat="1" ht="17" thickBot="1">
      <c r="E173" s="90" t="s">
        <v>1545</v>
      </c>
      <c r="F173" s="90" t="s">
        <v>1545</v>
      </c>
      <c r="I173" s="739" t="s">
        <v>452</v>
      </c>
      <c r="J173" s="739"/>
      <c r="K173" s="740">
        <v>45657</v>
      </c>
      <c r="L173" s="740">
        <v>45291</v>
      </c>
      <c r="M173" s="739" t="s">
        <v>1666</v>
      </c>
      <c r="N173" s="739" t="s">
        <v>1667</v>
      </c>
      <c r="O173" s="739" t="s">
        <v>1668</v>
      </c>
      <c r="P173" s="739" t="s">
        <v>1669</v>
      </c>
      <c r="Q173" s="739" t="s">
        <v>2388</v>
      </c>
      <c r="R173" s="739" t="s">
        <v>1703</v>
      </c>
      <c r="T173" s="759" t="s">
        <v>2425</v>
      </c>
      <c r="U173" s="760"/>
      <c r="V173" s="760"/>
      <c r="W173" s="760"/>
      <c r="X173" s="761"/>
    </row>
    <row r="174" spans="1:24" s="2" customFormat="1" ht="16">
      <c r="A174" s="2" t="s">
        <v>131</v>
      </c>
      <c r="D174" s="34"/>
      <c r="I174" s="122"/>
      <c r="J174" s="99"/>
      <c r="K174" s="99"/>
      <c r="L174" s="99"/>
      <c r="M174" s="99"/>
      <c r="N174" s="741"/>
      <c r="O174" s="741"/>
      <c r="P174" s="741"/>
      <c r="Q174" s="741" t="s">
        <v>2390</v>
      </c>
      <c r="R174" s="742"/>
      <c r="T174" s="123"/>
      <c r="U174" s="752"/>
      <c r="V174" s="752"/>
      <c r="W174" s="752"/>
      <c r="X174" s="124"/>
    </row>
    <row r="175" spans="1:24" s="2" customFormat="1" ht="17" thickBot="1">
      <c r="A175" s="2" t="s">
        <v>66</v>
      </c>
      <c r="D175" s="34"/>
      <c r="E175" s="468">
        <f>180+120</f>
        <v>300</v>
      </c>
      <c r="F175" s="468">
        <f>100+70</f>
        <v>170</v>
      </c>
      <c r="I175" s="125" t="s">
        <v>66</v>
      </c>
      <c r="J175" s="126"/>
      <c r="K175" s="743">
        <f>180+120</f>
        <v>300</v>
      </c>
      <c r="L175" s="743">
        <f>100+70</f>
        <v>170</v>
      </c>
      <c r="M175" s="743">
        <f>K175-L175</f>
        <v>130</v>
      </c>
      <c r="N175" s="744"/>
      <c r="O175" s="744"/>
      <c r="P175" s="744"/>
      <c r="Q175" s="743">
        <f>M175</f>
        <v>130</v>
      </c>
      <c r="R175" s="745"/>
      <c r="T175" s="123"/>
      <c r="U175" s="752"/>
      <c r="V175" s="752"/>
      <c r="W175" s="752"/>
      <c r="X175" s="753" t="s">
        <v>1545</v>
      </c>
    </row>
    <row r="176" spans="1:24" s="2" customFormat="1" ht="16">
      <c r="A176" s="2" t="s">
        <v>493</v>
      </c>
      <c r="D176" s="34"/>
      <c r="E176" s="468">
        <v>21</v>
      </c>
      <c r="F176" s="468">
        <v>26</v>
      </c>
      <c r="I176" s="122"/>
      <c r="J176" s="99"/>
      <c r="K176" s="99"/>
      <c r="L176" s="99"/>
      <c r="M176" s="99"/>
      <c r="N176" s="741" t="s">
        <v>1674</v>
      </c>
      <c r="O176" s="741"/>
      <c r="P176" s="741"/>
      <c r="Q176" s="741"/>
      <c r="R176" s="742"/>
      <c r="T176" s="133" t="s">
        <v>1725</v>
      </c>
      <c r="U176" s="752"/>
      <c r="V176" s="752"/>
      <c r="W176" s="752"/>
      <c r="X176" s="754"/>
    </row>
    <row r="177" spans="1:24" s="2" customFormat="1" ht="17" thickBot="1">
      <c r="A177" s="2" t="s">
        <v>557</v>
      </c>
      <c r="D177" s="34"/>
      <c r="E177" s="468">
        <v>1500</v>
      </c>
      <c r="F177" s="468">
        <v>1400</v>
      </c>
      <c r="I177" s="125" t="s">
        <v>493</v>
      </c>
      <c r="J177" s="126"/>
      <c r="K177" s="743">
        <v>21</v>
      </c>
      <c r="L177" s="743">
        <v>26</v>
      </c>
      <c r="M177" s="743">
        <f t="shared" ref="M177:M188" si="1">K177-L177</f>
        <v>-5</v>
      </c>
      <c r="N177" s="743">
        <f>-M177</f>
        <v>5</v>
      </c>
      <c r="O177" s="744"/>
      <c r="P177" s="744"/>
      <c r="Q177" s="744"/>
      <c r="R177" s="745"/>
      <c r="T177" s="123"/>
      <c r="U177" s="752"/>
      <c r="V177" s="752"/>
      <c r="W177" s="752"/>
      <c r="X177" s="754"/>
    </row>
    <row r="178" spans="1:24" s="2" customFormat="1" ht="16">
      <c r="A178" s="2" t="s">
        <v>2383</v>
      </c>
      <c r="D178" s="34">
        <v>1</v>
      </c>
      <c r="E178" s="468">
        <v>18</v>
      </c>
      <c r="F178" s="468">
        <v>23</v>
      </c>
      <c r="I178" s="122"/>
      <c r="J178" s="99"/>
      <c r="K178" s="99"/>
      <c r="L178" s="99"/>
      <c r="M178" s="99"/>
      <c r="N178" s="741" t="s">
        <v>1709</v>
      </c>
      <c r="O178" s="741"/>
      <c r="P178" s="741"/>
      <c r="Q178" s="741"/>
      <c r="R178" s="742"/>
      <c r="T178" s="123" t="s">
        <v>467</v>
      </c>
      <c r="U178" s="752"/>
      <c r="V178" s="752"/>
      <c r="W178" s="752"/>
      <c r="X178" s="754">
        <f>N196</f>
        <v>347</v>
      </c>
    </row>
    <row r="179" spans="1:24" s="2" customFormat="1" ht="17" thickBot="1">
      <c r="A179" s="2" t="s">
        <v>1547</v>
      </c>
      <c r="D179" s="34">
        <v>2</v>
      </c>
      <c r="E179" s="468">
        <v>90</v>
      </c>
      <c r="F179" s="468">
        <v>40</v>
      </c>
      <c r="I179" s="125" t="s">
        <v>557</v>
      </c>
      <c r="J179" s="126"/>
      <c r="K179" s="743">
        <v>1500</v>
      </c>
      <c r="L179" s="743">
        <v>1400</v>
      </c>
      <c r="M179" s="743">
        <f>K179-L179</f>
        <v>100</v>
      </c>
      <c r="N179" s="743">
        <f>-M179</f>
        <v>-100</v>
      </c>
      <c r="O179" s="744"/>
      <c r="P179" s="744"/>
      <c r="Q179" s="744"/>
      <c r="R179" s="745"/>
      <c r="T179" s="123"/>
      <c r="U179" s="752"/>
      <c r="V179" s="752"/>
      <c r="W179" s="752"/>
      <c r="X179" s="754"/>
    </row>
    <row r="180" spans="1:24" s="2" customFormat="1" ht="16">
      <c r="A180" s="2" t="s">
        <v>1548</v>
      </c>
      <c r="D180" s="34">
        <v>2</v>
      </c>
      <c r="E180" s="468">
        <v>-15</v>
      </c>
      <c r="F180" s="468">
        <v>-10</v>
      </c>
      <c r="I180" s="122"/>
      <c r="J180" s="99"/>
      <c r="K180" s="99"/>
      <c r="L180" s="99"/>
      <c r="M180" s="99"/>
      <c r="N180" s="741" t="s">
        <v>2392</v>
      </c>
      <c r="O180" s="741" t="s">
        <v>2393</v>
      </c>
      <c r="P180" s="741"/>
      <c r="Q180" s="741"/>
      <c r="R180" s="742"/>
      <c r="T180" s="755" t="s">
        <v>2424</v>
      </c>
      <c r="U180" s="752"/>
      <c r="V180" s="752"/>
      <c r="W180" s="752"/>
      <c r="X180" s="754"/>
    </row>
    <row r="181" spans="1:24" s="2" customFormat="1" ht="17" thickBot="1">
      <c r="A181" s="2" t="s">
        <v>83</v>
      </c>
      <c r="D181" s="34"/>
      <c r="E181" s="553">
        <f>SUM(E175:E180)</f>
        <v>1914</v>
      </c>
      <c r="F181" s="553">
        <f>SUM(F175:F180)</f>
        <v>1649</v>
      </c>
      <c r="I181" s="125" t="s">
        <v>2383</v>
      </c>
      <c r="J181" s="126"/>
      <c r="K181" s="743">
        <v>18</v>
      </c>
      <c r="L181" s="743">
        <v>23</v>
      </c>
      <c r="M181" s="743">
        <f>K181-L181</f>
        <v>-5</v>
      </c>
      <c r="N181" s="744">
        <v>10</v>
      </c>
      <c r="O181" s="743">
        <v>-5</v>
      </c>
      <c r="P181" s="744"/>
      <c r="Q181" s="744"/>
      <c r="R181" s="745"/>
      <c r="T181" s="123"/>
      <c r="U181" s="752"/>
      <c r="V181" s="752"/>
      <c r="W181" s="752"/>
      <c r="X181" s="754"/>
    </row>
    <row r="182" spans="1:24" s="2" customFormat="1" ht="16">
      <c r="D182" s="34"/>
      <c r="E182" s="468"/>
      <c r="F182" s="468"/>
      <c r="I182" s="122"/>
      <c r="J182" s="99"/>
      <c r="K182" s="99"/>
      <c r="L182" s="99"/>
      <c r="M182" s="99"/>
      <c r="N182" s="741" t="s">
        <v>587</v>
      </c>
      <c r="O182" s="741" t="s">
        <v>2404</v>
      </c>
      <c r="P182" s="741"/>
      <c r="Q182" s="741"/>
      <c r="R182" s="742"/>
      <c r="T182" s="133" t="s">
        <v>2414</v>
      </c>
      <c r="U182" s="752"/>
      <c r="V182" s="752"/>
      <c r="W182" s="752"/>
      <c r="X182" s="754"/>
    </row>
    <row r="183" spans="1:24" s="2" customFormat="1" ht="17" thickBot="1">
      <c r="A183" s="2" t="s">
        <v>550</v>
      </c>
      <c r="D183" s="34"/>
      <c r="E183" s="468"/>
      <c r="F183" s="468"/>
      <c r="I183" s="125" t="s">
        <v>2389</v>
      </c>
      <c r="J183" s="126"/>
      <c r="K183" s="743">
        <f>90-15</f>
        <v>75</v>
      </c>
      <c r="L183" s="743">
        <f>40-10</f>
        <v>30</v>
      </c>
      <c r="M183" s="743">
        <f>K183-L183</f>
        <v>45</v>
      </c>
      <c r="N183" s="743">
        <f>F180-E180</f>
        <v>5</v>
      </c>
      <c r="O183" s="743">
        <f>F179-E179</f>
        <v>-50</v>
      </c>
      <c r="P183" s="744"/>
      <c r="Q183" s="744"/>
      <c r="R183" s="745"/>
      <c r="T183" s="123" t="s">
        <v>2416</v>
      </c>
      <c r="U183" s="752"/>
      <c r="V183" s="752"/>
      <c r="W183" s="752"/>
      <c r="X183" s="754">
        <f>N181</f>
        <v>10</v>
      </c>
    </row>
    <row r="184" spans="1:24" s="2" customFormat="1" ht="16">
      <c r="A184" s="2" t="s">
        <v>771</v>
      </c>
      <c r="D184" s="34"/>
      <c r="E184" s="468">
        <v>10</v>
      </c>
      <c r="F184" s="468">
        <v>4</v>
      </c>
      <c r="I184" s="122"/>
      <c r="J184" s="99"/>
      <c r="K184" s="99"/>
      <c r="L184" s="99"/>
      <c r="M184" s="99"/>
      <c r="N184" s="741"/>
      <c r="O184" s="741"/>
      <c r="P184" s="741" t="s">
        <v>2391</v>
      </c>
      <c r="Q184" s="741"/>
      <c r="R184" s="742"/>
      <c r="T184" s="123" t="s">
        <v>2417</v>
      </c>
      <c r="U184" s="752"/>
      <c r="V184" s="752"/>
      <c r="W184" s="752"/>
      <c r="X184" s="756">
        <f>N183</f>
        <v>5</v>
      </c>
    </row>
    <row r="185" spans="1:24" s="2" customFormat="1" ht="17" thickBot="1">
      <c r="A185" s="2" t="s">
        <v>69</v>
      </c>
      <c r="D185" s="34"/>
      <c r="E185" s="468">
        <v>70</v>
      </c>
      <c r="F185" s="468">
        <v>70</v>
      </c>
      <c r="I185" s="125" t="s">
        <v>771</v>
      </c>
      <c r="J185" s="126"/>
      <c r="K185" s="743">
        <f>-E184</f>
        <v>-10</v>
      </c>
      <c r="L185" s="743">
        <f>-F184</f>
        <v>-4</v>
      </c>
      <c r="M185" s="743">
        <f>K185-L185</f>
        <v>-6</v>
      </c>
      <c r="N185" s="744"/>
      <c r="O185" s="744"/>
      <c r="P185" s="743">
        <f>-M185</f>
        <v>6</v>
      </c>
      <c r="Q185" s="744"/>
      <c r="R185" s="745"/>
      <c r="T185" s="123"/>
      <c r="U185" s="752"/>
      <c r="V185" s="752"/>
      <c r="W185" s="752"/>
      <c r="X185" s="124"/>
    </row>
    <row r="186" spans="1:24" s="2" customFormat="1" ht="17" thickBot="1">
      <c r="A186" s="2" t="s">
        <v>67</v>
      </c>
      <c r="D186" s="34">
        <v>3</v>
      </c>
      <c r="E186" s="468">
        <v>112</v>
      </c>
      <c r="F186" s="468">
        <v>100</v>
      </c>
      <c r="I186" s="154" t="s">
        <v>69</v>
      </c>
      <c r="J186" s="172"/>
      <c r="K186" s="746">
        <f>-E185</f>
        <v>-70</v>
      </c>
      <c r="L186" s="746">
        <f>-F185</f>
        <v>-70</v>
      </c>
      <c r="M186" s="746">
        <f>K186-L186</f>
        <v>0</v>
      </c>
      <c r="N186" s="746">
        <f>-M186</f>
        <v>0</v>
      </c>
      <c r="O186" s="747"/>
      <c r="P186" s="747"/>
      <c r="Q186" s="747"/>
      <c r="R186" s="748"/>
      <c r="T186" s="133" t="s">
        <v>2415</v>
      </c>
      <c r="U186" s="752"/>
      <c r="V186" s="752"/>
      <c r="W186" s="752"/>
      <c r="X186" s="124"/>
    </row>
    <row r="187" spans="1:24" s="2" customFormat="1" ht="16">
      <c r="A187" s="2" t="s">
        <v>75</v>
      </c>
      <c r="D187" s="34">
        <v>4</v>
      </c>
      <c r="E187" s="468">
        <v>80</v>
      </c>
      <c r="F187" s="468">
        <v>115</v>
      </c>
      <c r="I187" s="122"/>
      <c r="J187" s="99"/>
      <c r="K187" s="99"/>
      <c r="L187" s="99"/>
      <c r="M187" s="99"/>
      <c r="N187" s="741"/>
      <c r="O187" s="741"/>
      <c r="P187" s="741" t="s">
        <v>2405</v>
      </c>
      <c r="Q187" s="741"/>
      <c r="R187" s="742"/>
      <c r="T187" s="123" t="s">
        <v>1674</v>
      </c>
      <c r="U187" s="752"/>
      <c r="V187" s="752"/>
      <c r="W187" s="752"/>
      <c r="X187" s="756">
        <f>N177</f>
        <v>5</v>
      </c>
    </row>
    <row r="188" spans="1:24" s="2" customFormat="1" ht="17" thickBot="1">
      <c r="A188" s="2" t="s">
        <v>556</v>
      </c>
      <c r="D188" s="34">
        <v>5</v>
      </c>
      <c r="E188" s="468">
        <v>115</v>
      </c>
      <c r="F188" s="468">
        <v>90</v>
      </c>
      <c r="I188" s="125" t="s">
        <v>67</v>
      </c>
      <c r="J188" s="126"/>
      <c r="K188" s="743">
        <f>-E186</f>
        <v>-112</v>
      </c>
      <c r="L188" s="743">
        <f>-F186</f>
        <v>-100</v>
      </c>
      <c r="M188" s="743">
        <f>K188-L188</f>
        <v>-12</v>
      </c>
      <c r="N188" s="744"/>
      <c r="O188" s="744"/>
      <c r="P188" s="743">
        <f>-M188</f>
        <v>12</v>
      </c>
      <c r="Q188" s="744"/>
      <c r="R188" s="745"/>
      <c r="T188" s="123" t="s">
        <v>1709</v>
      </c>
      <c r="U188" s="752"/>
      <c r="V188" s="752"/>
      <c r="W188" s="752"/>
      <c r="X188" s="756">
        <f>N179</f>
        <v>-100</v>
      </c>
    </row>
    <row r="189" spans="1:24" s="2" customFormat="1" ht="17" thickBot="1">
      <c r="A189" s="2" t="s">
        <v>1549</v>
      </c>
      <c r="D189" s="34">
        <v>6</v>
      </c>
      <c r="E189" s="468">
        <v>80</v>
      </c>
      <c r="F189" s="468">
        <v>50</v>
      </c>
      <c r="I189" s="122"/>
      <c r="J189" s="99"/>
      <c r="K189" s="99"/>
      <c r="L189" s="99"/>
      <c r="M189" s="99"/>
      <c r="N189" s="741"/>
      <c r="O189" s="741"/>
      <c r="P189" s="741" t="s">
        <v>2406</v>
      </c>
      <c r="Q189" s="741"/>
      <c r="R189" s="742"/>
      <c r="T189" s="123"/>
      <c r="U189" s="752"/>
      <c r="V189" s="752"/>
      <c r="W189" s="752"/>
      <c r="X189" s="754"/>
    </row>
    <row r="190" spans="1:24" s="2" customFormat="1" ht="17" thickBot="1">
      <c r="A190" s="2" t="s">
        <v>2384</v>
      </c>
      <c r="D190" s="34">
        <v>6</v>
      </c>
      <c r="E190" s="468">
        <v>90</v>
      </c>
      <c r="F190" s="468">
        <v>40</v>
      </c>
      <c r="I190" s="125" t="s">
        <v>75</v>
      </c>
      <c r="J190" s="126"/>
      <c r="K190" s="743">
        <f>-E187</f>
        <v>-80</v>
      </c>
      <c r="L190" s="743">
        <f>-F187</f>
        <v>-115</v>
      </c>
      <c r="M190" s="743">
        <f>K190-L190</f>
        <v>35</v>
      </c>
      <c r="N190" s="744"/>
      <c r="O190" s="744"/>
      <c r="P190" s="743">
        <f>-M190</f>
        <v>-35</v>
      </c>
      <c r="Q190" s="744"/>
      <c r="R190" s="745"/>
      <c r="T190" s="133" t="s">
        <v>1725</v>
      </c>
      <c r="U190" s="757"/>
      <c r="V190" s="757"/>
      <c r="W190" s="757"/>
      <c r="X190" s="758">
        <f>SUM(X178:X188)</f>
        <v>267</v>
      </c>
    </row>
    <row r="191" spans="1:24" s="2" customFormat="1" ht="16">
      <c r="A191" s="2" t="s">
        <v>1551</v>
      </c>
      <c r="D191" s="34"/>
      <c r="E191" s="468">
        <f>E181-SUM(E184:E190)</f>
        <v>1357</v>
      </c>
      <c r="F191" s="468">
        <f>F181-SUM(F184:F190)</f>
        <v>1180</v>
      </c>
      <c r="I191" s="122"/>
      <c r="J191" s="99"/>
      <c r="K191" s="99"/>
      <c r="L191" s="99"/>
      <c r="M191" s="99"/>
      <c r="N191" s="741"/>
      <c r="O191" s="741"/>
      <c r="P191" s="741" t="s">
        <v>2409</v>
      </c>
      <c r="Q191" s="741"/>
      <c r="R191" s="750" t="s">
        <v>2410</v>
      </c>
      <c r="T191" s="123"/>
      <c r="U191" s="752"/>
      <c r="V191" s="752"/>
      <c r="W191" s="752"/>
      <c r="X191" s="754"/>
    </row>
    <row r="192" spans="1:24" s="2" customFormat="1" ht="17" thickBot="1">
      <c r="A192" s="2" t="s">
        <v>561</v>
      </c>
      <c r="E192" s="553">
        <f>SUM(E184:E191)</f>
        <v>1914</v>
      </c>
      <c r="F192" s="553">
        <f>SUM(F184:F191)</f>
        <v>1649</v>
      </c>
      <c r="I192" s="125" t="s">
        <v>556</v>
      </c>
      <c r="J192" s="126"/>
      <c r="K192" s="743">
        <f>-E188</f>
        <v>-115</v>
      </c>
      <c r="L192" s="743">
        <f>-F188</f>
        <v>-90</v>
      </c>
      <c r="M192" s="743">
        <f>K192-L192</f>
        <v>-25</v>
      </c>
      <c r="N192" s="744"/>
      <c r="O192" s="744"/>
      <c r="P192" s="743">
        <v>-90</v>
      </c>
      <c r="Q192" s="744"/>
      <c r="R192" s="745">
        <v>115</v>
      </c>
      <c r="T192" s="133" t="s">
        <v>1733</v>
      </c>
      <c r="U192" s="752"/>
      <c r="V192" s="752"/>
      <c r="W192" s="752"/>
      <c r="X192" s="754"/>
    </row>
    <row r="193" spans="1:24" s="2" customFormat="1" ht="16">
      <c r="I193" s="2" t="s">
        <v>1701</v>
      </c>
      <c r="K193" s="468">
        <f>-80-90</f>
        <v>-170</v>
      </c>
      <c r="L193" s="468">
        <f>-50-40</f>
        <v>-90</v>
      </c>
      <c r="M193" s="468">
        <f>K193-L193</f>
        <v>-80</v>
      </c>
      <c r="N193" s="34"/>
      <c r="O193" s="34"/>
      <c r="P193" s="34" t="s">
        <v>1588</v>
      </c>
      <c r="Q193" s="34"/>
      <c r="R193" s="34"/>
      <c r="T193" s="123"/>
      <c r="U193" s="752"/>
      <c r="V193" s="752"/>
      <c r="W193" s="752"/>
      <c r="X193" s="124"/>
    </row>
    <row r="194" spans="1:24" s="2" customFormat="1" ht="17" thickBot="1">
      <c r="A194" s="2" t="s">
        <v>1552</v>
      </c>
      <c r="N194" s="34"/>
      <c r="O194" s="34"/>
      <c r="P194" s="468">
        <f>-M193</f>
        <v>80</v>
      </c>
      <c r="Q194" s="34"/>
      <c r="R194" s="34"/>
      <c r="T194" s="123" t="s">
        <v>2418</v>
      </c>
      <c r="U194" s="752"/>
      <c r="V194" s="752"/>
      <c r="W194" s="752"/>
      <c r="X194" s="756">
        <f>O181</f>
        <v>-5</v>
      </c>
    </row>
    <row r="195" spans="1:24" s="2" customFormat="1" ht="16">
      <c r="A195" s="2">
        <v>1</v>
      </c>
      <c r="B195" s="2" t="s">
        <v>2385</v>
      </c>
      <c r="I195" s="122"/>
      <c r="J195" s="99"/>
      <c r="K195" s="99"/>
      <c r="L195" s="99"/>
      <c r="M195" s="99"/>
      <c r="N195" s="741" t="s">
        <v>467</v>
      </c>
      <c r="O195" s="741"/>
      <c r="P195" s="741" t="s">
        <v>2411</v>
      </c>
      <c r="Q195" s="741"/>
      <c r="R195" s="750" t="s">
        <v>2410</v>
      </c>
      <c r="T195" s="123" t="s">
        <v>2419</v>
      </c>
      <c r="U195" s="752"/>
      <c r="V195" s="752"/>
      <c r="W195" s="752"/>
      <c r="X195" s="756">
        <f>O183</f>
        <v>-50</v>
      </c>
    </row>
    <row r="196" spans="1:24" s="2" customFormat="1" ht="17" thickBot="1">
      <c r="B196" s="2" t="s">
        <v>2386</v>
      </c>
      <c r="I196" s="125" t="s">
        <v>1551</v>
      </c>
      <c r="J196" s="126"/>
      <c r="K196" s="743">
        <f>-E191</f>
        <v>-1357</v>
      </c>
      <c r="L196" s="743">
        <f>-F191</f>
        <v>-1180</v>
      </c>
      <c r="M196" s="743">
        <f>K196-L196</f>
        <v>-177</v>
      </c>
      <c r="N196" s="744">
        <v>347</v>
      </c>
      <c r="O196" s="744"/>
      <c r="P196" s="743">
        <f>-55</f>
        <v>-55</v>
      </c>
      <c r="Q196" s="744"/>
      <c r="R196" s="749">
        <f>-R192</f>
        <v>-115</v>
      </c>
      <c r="T196" s="123"/>
      <c r="U196" s="752"/>
      <c r="V196" s="752"/>
      <c r="W196" s="752"/>
      <c r="X196" s="124"/>
    </row>
    <row r="197" spans="1:24" s="2" customFormat="1" ht="16">
      <c r="A197" s="2">
        <v>2</v>
      </c>
      <c r="B197" s="2" t="s">
        <v>1553</v>
      </c>
      <c r="I197" s="2" t="s">
        <v>436</v>
      </c>
      <c r="K197" s="751">
        <f>SUM(K175:K196)</f>
        <v>0</v>
      </c>
      <c r="L197" s="751">
        <f>SUM(L175:L196)</f>
        <v>0</v>
      </c>
      <c r="M197" s="751">
        <f>SUM(M175:M196)</f>
        <v>0</v>
      </c>
      <c r="N197" s="751">
        <f>SUM(N175:N196)</f>
        <v>267</v>
      </c>
      <c r="O197" s="751">
        <f>SUM(O175:O196)</f>
        <v>-55</v>
      </c>
      <c r="P197" s="751">
        <f>SUM(P175:P196)</f>
        <v>-82</v>
      </c>
      <c r="Q197" s="751">
        <f>SUM(Q175:Q196)</f>
        <v>130</v>
      </c>
      <c r="R197" s="751">
        <f>SUM(R175:R196)</f>
        <v>0</v>
      </c>
      <c r="T197" s="133" t="s">
        <v>1733</v>
      </c>
      <c r="U197" s="752"/>
      <c r="V197" s="752"/>
      <c r="W197" s="752"/>
      <c r="X197" s="758">
        <f>SUM(X194:X195)</f>
        <v>-55</v>
      </c>
    </row>
    <row r="198" spans="1:24" s="2" customFormat="1" ht="16">
      <c r="B198" s="2" t="s">
        <v>1554</v>
      </c>
      <c r="T198" s="123"/>
      <c r="U198" s="752"/>
      <c r="V198" s="752"/>
      <c r="W198" s="752"/>
      <c r="X198" s="124"/>
    </row>
    <row r="199" spans="1:24" s="2" customFormat="1" ht="16">
      <c r="B199" s="2" t="s">
        <v>1555</v>
      </c>
      <c r="T199" s="133" t="s">
        <v>2412</v>
      </c>
      <c r="U199" s="752"/>
      <c r="V199" s="752"/>
      <c r="W199" s="752"/>
      <c r="X199" s="754"/>
    </row>
    <row r="200" spans="1:24" s="2" customFormat="1" ht="16">
      <c r="A200" s="2">
        <v>3</v>
      </c>
      <c r="B200" s="2" t="s">
        <v>1556</v>
      </c>
      <c r="T200" s="123" t="s">
        <v>2420</v>
      </c>
      <c r="U200" s="752"/>
      <c r="V200" s="752"/>
      <c r="W200" s="752"/>
      <c r="X200" s="756">
        <f>P185</f>
        <v>6</v>
      </c>
    </row>
    <row r="201" spans="1:24" s="2" customFormat="1" ht="16">
      <c r="B201" s="2" t="s">
        <v>1557</v>
      </c>
      <c r="T201" s="123" t="s">
        <v>2421</v>
      </c>
      <c r="U201" s="752"/>
      <c r="V201" s="752"/>
      <c r="W201" s="752"/>
      <c r="X201" s="756">
        <f>P188</f>
        <v>12</v>
      </c>
    </row>
    <row r="202" spans="1:24" s="2" customFormat="1" ht="16">
      <c r="A202" s="2">
        <v>4</v>
      </c>
      <c r="B202" s="2" t="s">
        <v>1558</v>
      </c>
      <c r="T202" s="123" t="s">
        <v>1765</v>
      </c>
      <c r="U202" s="752"/>
      <c r="V202" s="752"/>
      <c r="W202" s="752"/>
      <c r="X202" s="756">
        <f>P190</f>
        <v>-35</v>
      </c>
    </row>
    <row r="203" spans="1:24" s="2" customFormat="1" ht="16">
      <c r="B203" s="2" t="s">
        <v>1559</v>
      </c>
      <c r="T203" s="123" t="s">
        <v>2422</v>
      </c>
      <c r="U203" s="752"/>
      <c r="V203" s="752"/>
      <c r="W203" s="752"/>
      <c r="X203" s="756">
        <f>P192+P196</f>
        <v>-145</v>
      </c>
    </row>
    <row r="204" spans="1:24" s="2" customFormat="1" ht="16">
      <c r="A204" s="2">
        <v>5</v>
      </c>
      <c r="B204" s="2" t="s">
        <v>2407</v>
      </c>
      <c r="T204" s="123" t="s">
        <v>1507</v>
      </c>
      <c r="U204" s="752"/>
      <c r="V204" s="752"/>
      <c r="W204" s="752"/>
      <c r="X204" s="756">
        <f>P194</f>
        <v>80</v>
      </c>
    </row>
    <row r="205" spans="1:24" s="2" customFormat="1" ht="17" thickBot="1">
      <c r="A205" s="2">
        <v>6</v>
      </c>
      <c r="B205" s="2" t="s">
        <v>1560</v>
      </c>
      <c r="T205" s="123"/>
      <c r="U205" s="752"/>
      <c r="V205" s="752"/>
      <c r="W205" s="752"/>
      <c r="X205" s="754"/>
    </row>
    <row r="206" spans="1:24" s="2" customFormat="1" ht="16">
      <c r="T206" s="133" t="s">
        <v>2412</v>
      </c>
      <c r="U206" s="752"/>
      <c r="V206" s="752"/>
      <c r="W206" s="752"/>
      <c r="X206" s="758">
        <f>SUM(X200:X204)</f>
        <v>-82</v>
      </c>
    </row>
    <row r="207" spans="1:24" s="2" customFormat="1" ht="16">
      <c r="I207" s="4" t="s">
        <v>2394</v>
      </c>
      <c r="T207" s="123"/>
      <c r="U207" s="752"/>
      <c r="V207" s="752"/>
      <c r="W207" s="752"/>
      <c r="X207" s="124"/>
    </row>
    <row r="208" spans="1:24" s="2" customFormat="1" ht="16">
      <c r="I208" s="2" t="s">
        <v>2395</v>
      </c>
      <c r="T208" s="123" t="s">
        <v>1728</v>
      </c>
      <c r="U208" s="752"/>
      <c r="V208" s="752"/>
      <c r="W208" s="752"/>
      <c r="X208" s="756">
        <f>X190+X197+X206</f>
        <v>130</v>
      </c>
    </row>
    <row r="209" spans="1:24" s="2" customFormat="1" ht="16">
      <c r="A209" s="4" t="s">
        <v>1561</v>
      </c>
      <c r="I209" s="2" t="s">
        <v>2396</v>
      </c>
      <c r="T209" s="123" t="s">
        <v>1729</v>
      </c>
      <c r="U209" s="752"/>
      <c r="V209" s="752"/>
      <c r="W209" s="752"/>
      <c r="X209" s="756">
        <f>L175</f>
        <v>170</v>
      </c>
    </row>
    <row r="210" spans="1:24" s="2" customFormat="1" ht="16">
      <c r="I210" s="2" t="s">
        <v>2397</v>
      </c>
      <c r="T210" s="123" t="s">
        <v>1730</v>
      </c>
      <c r="U210" s="752"/>
      <c r="V210" s="752"/>
      <c r="W210" s="752"/>
      <c r="X210" s="756">
        <f>X208+X209</f>
        <v>300</v>
      </c>
    </row>
    <row r="211" spans="1:24" s="2" customFormat="1" ht="16">
      <c r="I211" s="2" t="s">
        <v>2398</v>
      </c>
      <c r="T211" s="123"/>
      <c r="U211" s="752"/>
      <c r="V211" s="752"/>
      <c r="W211" s="752"/>
      <c r="X211" s="754"/>
    </row>
    <row r="212" spans="1:24" s="2" customFormat="1" ht="16">
      <c r="T212" s="133" t="s">
        <v>2413</v>
      </c>
      <c r="U212" s="752"/>
      <c r="V212" s="752"/>
      <c r="W212" s="752"/>
      <c r="X212" s="754"/>
    </row>
    <row r="213" spans="1:24" s="2" customFormat="1" ht="17" thickBot="1">
      <c r="I213" s="2" t="s">
        <v>2399</v>
      </c>
      <c r="T213" s="125" t="s">
        <v>2423</v>
      </c>
      <c r="U213" s="126"/>
      <c r="V213" s="126"/>
      <c r="W213" s="126"/>
      <c r="X213" s="745"/>
    </row>
    <row r="214" spans="1:24" s="2" customFormat="1" ht="16">
      <c r="I214" s="2" t="s">
        <v>2400</v>
      </c>
    </row>
    <row r="215" spans="1:24" s="2" customFormat="1" ht="16">
      <c r="I215" s="2" t="s">
        <v>2401</v>
      </c>
    </row>
    <row r="216" spans="1:24" s="2" customFormat="1" ht="16">
      <c r="I216" s="2" t="s">
        <v>2402</v>
      </c>
    </row>
    <row r="217" spans="1:24" s="2" customFormat="1" ht="16">
      <c r="I217" s="2" t="s">
        <v>2403</v>
      </c>
    </row>
    <row r="218" spans="1:24" s="63" customFormat="1" ht="16">
      <c r="I218" s="2"/>
      <c r="J218" s="2"/>
      <c r="K218" s="2"/>
      <c r="L218" s="2"/>
      <c r="M218" s="2"/>
      <c r="N218" s="2"/>
      <c r="O218" s="2"/>
      <c r="P218" s="2"/>
      <c r="Q218" s="2"/>
      <c r="R218" s="2"/>
      <c r="S218" s="2"/>
      <c r="T218" s="2"/>
      <c r="U218" s="3"/>
    </row>
    <row r="219" spans="1:24" s="63" customFormat="1" ht="16">
      <c r="I219" s="3" t="s">
        <v>2363</v>
      </c>
      <c r="J219" s="3"/>
      <c r="K219" s="3"/>
      <c r="L219" s="3"/>
      <c r="M219" s="3"/>
      <c r="N219" s="3"/>
      <c r="O219" s="3"/>
      <c r="P219" s="3"/>
      <c r="Q219" s="3"/>
      <c r="R219" s="3"/>
      <c r="S219" s="3"/>
      <c r="T219" s="3"/>
      <c r="U219" s="3"/>
    </row>
    <row r="220" spans="1:24" s="63" customFormat="1" ht="16">
      <c r="I220" s="3"/>
      <c r="J220" s="3"/>
      <c r="K220" s="3"/>
      <c r="L220" s="3"/>
      <c r="M220" s="3"/>
      <c r="N220" s="3"/>
      <c r="O220" s="3"/>
      <c r="P220" s="3"/>
      <c r="Q220" s="3"/>
      <c r="R220" s="3"/>
      <c r="S220" s="3"/>
      <c r="T220" s="3"/>
      <c r="U220" s="3"/>
    </row>
    <row r="221" spans="1:24" s="63" customFormat="1" ht="16">
      <c r="I221" s="3"/>
      <c r="J221" s="443" t="s">
        <v>2364</v>
      </c>
      <c r="K221" s="3"/>
      <c r="L221" s="626" t="s">
        <v>2368</v>
      </c>
      <c r="M221" s="626" t="s">
        <v>1667</v>
      </c>
      <c r="N221" s="626" t="s">
        <v>1669</v>
      </c>
      <c r="O221" s="626" t="s">
        <v>1703</v>
      </c>
      <c r="P221" s="578"/>
      <c r="Q221" s="578"/>
      <c r="R221" s="578"/>
      <c r="S221" s="578"/>
      <c r="T221" s="578"/>
      <c r="U221" s="3"/>
    </row>
    <row r="222" spans="1:24" s="63" customFormat="1" ht="16">
      <c r="I222" s="3"/>
      <c r="J222" s="3" t="s">
        <v>1586</v>
      </c>
      <c r="K222" s="3"/>
      <c r="L222" s="578" t="s">
        <v>89</v>
      </c>
      <c r="M222" s="672"/>
      <c r="N222" s="672"/>
      <c r="O222" s="672"/>
      <c r="P222" s="578" t="s">
        <v>556</v>
      </c>
      <c r="Q222" s="578"/>
      <c r="R222" s="626" t="s">
        <v>2368</v>
      </c>
      <c r="S222" s="626" t="s">
        <v>1669</v>
      </c>
      <c r="T222" s="626" t="s">
        <v>1703</v>
      </c>
      <c r="U222" s="3"/>
    </row>
    <row r="223" spans="1:24" s="63" customFormat="1" ht="16">
      <c r="A223" s="5" t="s">
        <v>2387</v>
      </c>
      <c r="I223" s="3"/>
      <c r="J223" s="3" t="s">
        <v>467</v>
      </c>
      <c r="K223" s="3"/>
      <c r="L223" s="578" t="s">
        <v>89</v>
      </c>
      <c r="M223" s="578" t="s">
        <v>88</v>
      </c>
      <c r="N223" s="3"/>
      <c r="O223" s="3"/>
      <c r="P223" s="3" t="s">
        <v>1586</v>
      </c>
      <c r="Q223" s="3"/>
      <c r="R223" s="578" t="s">
        <v>89</v>
      </c>
      <c r="S223" s="685"/>
      <c r="T223" s="685"/>
      <c r="U223" s="3"/>
    </row>
    <row r="224" spans="1:24" s="63" customFormat="1" ht="16">
      <c r="I224" s="3"/>
      <c r="J224" s="3" t="s">
        <v>2365</v>
      </c>
      <c r="K224" s="3"/>
      <c r="L224" s="578" t="s">
        <v>88</v>
      </c>
      <c r="M224" s="578" t="s">
        <v>89</v>
      </c>
      <c r="N224" s="3"/>
      <c r="O224" s="3"/>
      <c r="P224" s="3" t="s">
        <v>2369</v>
      </c>
      <c r="Q224" s="3"/>
      <c r="R224" s="578" t="s">
        <v>88</v>
      </c>
      <c r="S224" s="578" t="s">
        <v>89</v>
      </c>
      <c r="T224" s="3"/>
      <c r="U224" s="3"/>
    </row>
    <row r="225" spans="1:21" s="63" customFormat="1" ht="16">
      <c r="A225" s="63" t="s">
        <v>1659</v>
      </c>
      <c r="I225" s="3"/>
      <c r="J225" s="3" t="s">
        <v>2366</v>
      </c>
      <c r="K225" s="3"/>
      <c r="L225" s="578" t="s">
        <v>88</v>
      </c>
      <c r="M225" s="3"/>
      <c r="N225" s="3"/>
      <c r="O225" s="578" t="s">
        <v>89</v>
      </c>
      <c r="P225" s="3" t="s">
        <v>2366</v>
      </c>
      <c r="Q225" s="3"/>
      <c r="R225" s="578" t="s">
        <v>89</v>
      </c>
      <c r="S225" s="3"/>
      <c r="T225" s="578" t="s">
        <v>88</v>
      </c>
      <c r="U225" s="3"/>
    </row>
    <row r="226" spans="1:21" s="63" customFormat="1" ht="16">
      <c r="A226" s="63" t="s">
        <v>1660</v>
      </c>
      <c r="I226" s="3"/>
      <c r="J226" s="3" t="s">
        <v>2367</v>
      </c>
      <c r="K226" s="3"/>
      <c r="L226" s="578" t="s">
        <v>88</v>
      </c>
      <c r="M226" s="3"/>
      <c r="N226" s="578" t="s">
        <v>89</v>
      </c>
      <c r="O226" s="3"/>
      <c r="P226" s="3"/>
      <c r="Q226" s="3"/>
      <c r="R226" s="579" t="s">
        <v>91</v>
      </c>
      <c r="S226" s="686"/>
      <c r="T226" s="686"/>
      <c r="U226" s="3"/>
    </row>
    <row r="227" spans="1:21" s="63" customFormat="1" ht="16">
      <c r="A227" s="63" t="s">
        <v>1661</v>
      </c>
      <c r="I227" s="3"/>
      <c r="J227" s="3" t="s">
        <v>1022</v>
      </c>
      <c r="K227" s="3"/>
      <c r="L227" s="579" t="s">
        <v>91</v>
      </c>
      <c r="M227" s="686"/>
      <c r="N227" s="686"/>
      <c r="O227" s="686"/>
      <c r="P227" s="3"/>
      <c r="Q227" s="3"/>
      <c r="R227" s="3"/>
      <c r="S227" s="3"/>
      <c r="T227" s="3"/>
      <c r="U227" s="3"/>
    </row>
    <row r="228" spans="1:21" s="63" customFormat="1" ht="16">
      <c r="A228" s="63" t="s">
        <v>1662</v>
      </c>
      <c r="I228" s="3"/>
      <c r="J228" s="3"/>
      <c r="K228" s="3"/>
      <c r="L228" s="3"/>
      <c r="M228" s="3"/>
      <c r="N228" s="3"/>
      <c r="O228" s="3"/>
      <c r="P228" s="3"/>
      <c r="Q228" s="3"/>
      <c r="R228" s="3"/>
      <c r="S228" s="3"/>
      <c r="T228" s="3"/>
      <c r="U228" s="3"/>
    </row>
    <row r="229" spans="1:21" s="63" customFormat="1" ht="16">
      <c r="A229" s="63" t="s">
        <v>1663</v>
      </c>
      <c r="I229" s="3" t="s">
        <v>2370</v>
      </c>
      <c r="J229" s="3"/>
      <c r="K229" s="3"/>
      <c r="L229" s="3"/>
      <c r="M229" s="3"/>
      <c r="N229" s="3"/>
      <c r="O229" s="3"/>
      <c r="P229" s="3"/>
      <c r="Q229" s="3"/>
      <c r="R229" s="3"/>
      <c r="S229" s="3"/>
      <c r="T229" s="3"/>
      <c r="U229" s="3"/>
    </row>
    <row r="230" spans="1:21" s="63" customFormat="1" ht="16">
      <c r="A230" s="63" t="s">
        <v>1664</v>
      </c>
      <c r="I230" s="3"/>
      <c r="J230" s="3"/>
      <c r="K230" s="3"/>
      <c r="L230" s="3"/>
      <c r="M230" s="3"/>
      <c r="N230" s="3"/>
      <c r="O230" s="3"/>
      <c r="P230" s="3"/>
      <c r="Q230" s="3"/>
      <c r="R230" s="3"/>
      <c r="S230" s="3"/>
      <c r="T230" s="3"/>
      <c r="U230" s="3"/>
    </row>
    <row r="231" spans="1:21" s="63" customFormat="1" ht="16">
      <c r="A231" s="63" t="s">
        <v>1665</v>
      </c>
      <c r="I231" s="3"/>
      <c r="J231" s="443" t="s">
        <v>2364</v>
      </c>
      <c r="K231" s="3"/>
      <c r="L231" s="628" t="s">
        <v>2368</v>
      </c>
      <c r="M231" s="626" t="s">
        <v>1667</v>
      </c>
      <c r="N231" s="626" t="s">
        <v>1669</v>
      </c>
      <c r="O231" s="626" t="s">
        <v>1703</v>
      </c>
      <c r="U231" s="3"/>
    </row>
    <row r="232" spans="1:21" s="63" customFormat="1" ht="16">
      <c r="A232" s="63" t="s">
        <v>1670</v>
      </c>
      <c r="I232" s="3"/>
      <c r="J232" s="3" t="s">
        <v>1586</v>
      </c>
      <c r="K232" s="3"/>
      <c r="L232" s="448">
        <f>L196</f>
        <v>-1180</v>
      </c>
      <c r="M232" s="672"/>
      <c r="N232" s="672"/>
      <c r="O232" s="672"/>
      <c r="P232" s="578" t="s">
        <v>556</v>
      </c>
      <c r="Q232" s="578"/>
      <c r="R232" s="626" t="s">
        <v>2368</v>
      </c>
      <c r="S232" s="626" t="s">
        <v>1669</v>
      </c>
      <c r="T232" s="626" t="s">
        <v>1703</v>
      </c>
      <c r="U232" s="3"/>
    </row>
    <row r="233" spans="1:21" s="63" customFormat="1" ht="16">
      <c r="A233" s="63" t="s">
        <v>1671</v>
      </c>
      <c r="I233" s="3"/>
      <c r="J233" s="3" t="s">
        <v>467</v>
      </c>
      <c r="K233" s="3"/>
      <c r="L233" s="448">
        <f>L237-L236-L235-L232</f>
        <v>-347</v>
      </c>
      <c r="M233" s="448">
        <f>-L233</f>
        <v>347</v>
      </c>
      <c r="N233" s="448"/>
      <c r="O233" s="448"/>
      <c r="P233" s="3" t="s">
        <v>1586</v>
      </c>
      <c r="Q233" s="3"/>
      <c r="R233" s="448">
        <f>L192</f>
        <v>-90</v>
      </c>
      <c r="S233" s="685"/>
      <c r="T233" s="685"/>
      <c r="U233" s="3"/>
    </row>
    <row r="234" spans="1:21" s="63" customFormat="1" ht="16">
      <c r="A234" s="63" t="s">
        <v>1672</v>
      </c>
      <c r="I234" s="3"/>
      <c r="J234" s="3" t="s">
        <v>2365</v>
      </c>
      <c r="K234" s="3"/>
      <c r="L234" s="675"/>
      <c r="M234" s="448"/>
      <c r="N234" s="448"/>
      <c r="O234" s="448"/>
      <c r="P234" s="3" t="s">
        <v>2369</v>
      </c>
      <c r="Q234" s="3"/>
      <c r="R234" s="448">
        <f>-R233</f>
        <v>90</v>
      </c>
      <c r="S234" s="448">
        <f>-R234</f>
        <v>-90</v>
      </c>
      <c r="T234" s="3"/>
      <c r="U234" s="3"/>
    </row>
    <row r="235" spans="1:21" s="63" customFormat="1" ht="16">
      <c r="A235" s="63" t="s">
        <v>1676</v>
      </c>
      <c r="I235" s="3"/>
      <c r="J235" s="3" t="s">
        <v>2366</v>
      </c>
      <c r="K235" s="3"/>
      <c r="L235" s="448">
        <f>-R235</f>
        <v>115</v>
      </c>
      <c r="M235" s="448"/>
      <c r="N235" s="448"/>
      <c r="O235" s="448">
        <f>-L235</f>
        <v>-115</v>
      </c>
      <c r="P235" s="3" t="s">
        <v>2366</v>
      </c>
      <c r="Q235" s="3"/>
      <c r="R235" s="448">
        <v>-115</v>
      </c>
      <c r="S235" s="3"/>
      <c r="T235" s="448">
        <f>-R235</f>
        <v>115</v>
      </c>
      <c r="U235" s="3"/>
    </row>
    <row r="236" spans="1:21" s="63" customFormat="1" ht="16">
      <c r="I236" s="3"/>
      <c r="J236" s="3" t="s">
        <v>2367</v>
      </c>
      <c r="K236" s="3"/>
      <c r="L236" s="448">
        <f>170-115</f>
        <v>55</v>
      </c>
      <c r="M236" s="448"/>
      <c r="N236" s="448">
        <f>-L236</f>
        <v>-55</v>
      </c>
      <c r="O236" s="448"/>
      <c r="P236" s="3"/>
      <c r="Q236" s="3"/>
      <c r="R236" s="449">
        <f>K192</f>
        <v>-115</v>
      </c>
      <c r="S236" s="686"/>
      <c r="T236" s="686"/>
    </row>
    <row r="237" spans="1:21" s="63" customFormat="1" ht="16">
      <c r="I237" s="3"/>
      <c r="J237" s="3" t="s">
        <v>1022</v>
      </c>
      <c r="K237" s="3"/>
      <c r="L237" s="448">
        <f>K196</f>
        <v>-1357</v>
      </c>
      <c r="M237" s="672"/>
      <c r="N237" s="672"/>
      <c r="O237" s="672"/>
      <c r="P237" s="3"/>
      <c r="Q237" s="3"/>
      <c r="R237" s="3"/>
      <c r="S237" s="3"/>
      <c r="T237" s="3"/>
    </row>
    <row r="238" spans="1:21" s="63" customFormat="1" ht="16"/>
    <row r="239" spans="1:21" s="63" customFormat="1" ht="16">
      <c r="J239" s="63" t="s">
        <v>2408</v>
      </c>
    </row>
    <row r="240" spans="1:21" s="63" customFormat="1" ht="16"/>
    <row r="241" spans="1:1" s="63" customFormat="1" ht="16">
      <c r="A241" s="6" t="s">
        <v>2426</v>
      </c>
    </row>
    <row r="242" spans="1:1" s="63" customFormat="1" ht="16"/>
    <row r="243" spans="1:1" s="63" customFormat="1" ht="16">
      <c r="A243" s="63" t="s">
        <v>2427</v>
      </c>
    </row>
    <row r="244" spans="1:1" s="63" customFormat="1" ht="16">
      <c r="A244" s="63" t="s">
        <v>2428</v>
      </c>
    </row>
    <row r="245" spans="1:1" s="63" customFormat="1" ht="16">
      <c r="A245" s="63" t="s">
        <v>2429</v>
      </c>
    </row>
    <row r="246" spans="1:1" s="63" customFormat="1" ht="16">
      <c r="A246" s="63" t="s">
        <v>2430</v>
      </c>
    </row>
    <row r="247" spans="1:1" s="63" customFormat="1" ht="16"/>
    <row r="248" spans="1:1" s="63" customFormat="1" ht="16">
      <c r="A248" s="63" t="s">
        <v>2431</v>
      </c>
    </row>
    <row r="249" spans="1:1" s="63" customFormat="1" ht="16">
      <c r="A249" s="63" t="s">
        <v>2432</v>
      </c>
    </row>
    <row r="250" spans="1:1" s="63" customFormat="1" ht="16">
      <c r="A250" s="63" t="s">
        <v>2433</v>
      </c>
    </row>
    <row r="251" spans="1:1" s="63" customFormat="1" ht="16">
      <c r="A251" s="63" t="s">
        <v>2434</v>
      </c>
    </row>
    <row r="252" spans="1:1" s="63" customFormat="1" ht="16"/>
    <row r="253" spans="1:1" s="63" customFormat="1" ht="16">
      <c r="A253" s="5" t="s">
        <v>2435</v>
      </c>
    </row>
    <row r="254" spans="1:1" s="63" customFormat="1" ht="16"/>
    <row r="255" spans="1:1" s="63" customFormat="1" ht="16">
      <c r="A255" s="63" t="s">
        <v>2436</v>
      </c>
    </row>
    <row r="256" spans="1:1" s="63" customFormat="1" ht="16"/>
    <row r="257" spans="1:4" s="63" customFormat="1" ht="16">
      <c r="A257" s="63" t="s">
        <v>2437</v>
      </c>
      <c r="D257" s="64">
        <v>900000</v>
      </c>
    </row>
    <row r="258" spans="1:4" s="63" customFormat="1" ht="16">
      <c r="A258" s="63" t="s">
        <v>2438</v>
      </c>
      <c r="D258" s="64">
        <v>250000</v>
      </c>
    </row>
    <row r="259" spans="1:4" s="63" customFormat="1" ht="16">
      <c r="B259" s="63" t="s">
        <v>2439</v>
      </c>
      <c r="D259" s="64"/>
    </row>
    <row r="260" spans="1:4" s="63" customFormat="1" ht="16">
      <c r="B260" s="63" t="s">
        <v>587</v>
      </c>
      <c r="D260" s="64">
        <v>17000</v>
      </c>
    </row>
    <row r="261" spans="1:4" s="63" customFormat="1" ht="16">
      <c r="B261" s="63" t="s">
        <v>1398</v>
      </c>
      <c r="D261" s="64">
        <v>14000</v>
      </c>
    </row>
    <row r="262" spans="1:4" s="63" customFormat="1" ht="16"/>
    <row r="263" spans="1:4" s="63" customFormat="1" ht="16">
      <c r="A263" s="63" t="s">
        <v>1674</v>
      </c>
      <c r="D263" s="64">
        <v>20000</v>
      </c>
    </row>
    <row r="264" spans="1:4" s="63" customFormat="1" ht="16">
      <c r="A264" s="63" t="s">
        <v>2440</v>
      </c>
      <c r="D264" s="64">
        <v>12000</v>
      </c>
    </row>
    <row r="265" spans="1:4" s="63" customFormat="1" ht="16">
      <c r="A265" s="63" t="s">
        <v>1709</v>
      </c>
      <c r="D265" s="64">
        <v>18000</v>
      </c>
    </row>
    <row r="266" spans="1:4" s="63" customFormat="1" ht="16">
      <c r="A266" s="63" t="s">
        <v>1758</v>
      </c>
      <c r="D266" s="64">
        <v>19000</v>
      </c>
    </row>
    <row r="267" spans="1:4" s="63" customFormat="1" ht="16">
      <c r="A267" s="63" t="s">
        <v>2441</v>
      </c>
      <c r="D267" s="64">
        <v>24000</v>
      </c>
    </row>
    <row r="268" spans="1:4" s="63" customFormat="1" ht="16">
      <c r="A268" s="63" t="s">
        <v>2442</v>
      </c>
      <c r="D268" s="64">
        <v>15000</v>
      </c>
    </row>
    <row r="269" spans="1:4" s="63" customFormat="1" ht="16">
      <c r="A269" s="63" t="s">
        <v>2443</v>
      </c>
      <c r="D269" s="64">
        <v>25000</v>
      </c>
    </row>
    <row r="270" spans="1:4" s="63" customFormat="1" ht="16">
      <c r="A270" s="63" t="s">
        <v>2444</v>
      </c>
      <c r="D270" s="64">
        <v>5000</v>
      </c>
    </row>
    <row r="271" spans="1:4" s="63" customFormat="1" ht="16">
      <c r="A271" s="63" t="s">
        <v>2445</v>
      </c>
      <c r="D271" s="64">
        <v>10000</v>
      </c>
    </row>
    <row r="272" spans="1:4" s="63" customFormat="1" ht="16"/>
    <row r="273" spans="1:6" s="63" customFormat="1" ht="16">
      <c r="A273" s="63" t="s">
        <v>2446</v>
      </c>
    </row>
    <row r="274" spans="1:6" s="63" customFormat="1" ht="16"/>
    <row r="275" spans="1:6" s="63" customFormat="1" ht="16">
      <c r="A275" s="63" t="s">
        <v>2447</v>
      </c>
    </row>
    <row r="276" spans="1:6" s="63" customFormat="1" ht="16">
      <c r="A276" s="63" t="s">
        <v>2448</v>
      </c>
    </row>
    <row r="277" spans="1:6" s="63" customFormat="1" ht="16"/>
    <row r="278" spans="1:6" s="63" customFormat="1" ht="16">
      <c r="B278" s="63" t="s">
        <v>467</v>
      </c>
      <c r="D278" s="505">
        <f>D257-D258</f>
        <v>650000</v>
      </c>
      <c r="F278" s="63" t="s">
        <v>2449</v>
      </c>
    </row>
    <row r="279" spans="1:6" s="63" customFormat="1" ht="16">
      <c r="D279" s="505"/>
    </row>
    <row r="280" spans="1:6" s="63" customFormat="1" ht="16">
      <c r="A280" s="63" t="s">
        <v>2450</v>
      </c>
      <c r="D280" s="505"/>
    </row>
    <row r="281" spans="1:6" s="63" customFormat="1" ht="16">
      <c r="A281" s="63" t="s">
        <v>2451</v>
      </c>
      <c r="D281" s="505"/>
    </row>
    <row r="282" spans="1:6" s="63" customFormat="1" ht="16">
      <c r="D282" s="505"/>
    </row>
    <row r="283" spans="1:6" s="63" customFormat="1" ht="16">
      <c r="B283" s="63" t="s">
        <v>2414</v>
      </c>
      <c r="D283" s="505"/>
    </row>
    <row r="284" spans="1:6" s="63" customFormat="1" ht="16">
      <c r="D284" s="505"/>
    </row>
    <row r="285" spans="1:6" s="63" customFormat="1" ht="16">
      <c r="B285" s="63" t="s">
        <v>587</v>
      </c>
      <c r="D285" s="505">
        <f>D260</f>
        <v>17000</v>
      </c>
    </row>
    <row r="286" spans="1:6" s="63" customFormat="1" ht="16">
      <c r="B286" s="63" t="s">
        <v>1398</v>
      </c>
      <c r="D286" s="505">
        <f>-D261</f>
        <v>-14000</v>
      </c>
    </row>
    <row r="287" spans="1:6" s="63" customFormat="1" ht="16"/>
    <row r="288" spans="1:6" s="63" customFormat="1" ht="16">
      <c r="B288" s="63" t="s">
        <v>2415</v>
      </c>
    </row>
    <row r="289" spans="1:5" s="63" customFormat="1" ht="16"/>
    <row r="290" spans="1:5" s="63" customFormat="1" ht="16">
      <c r="B290" s="63" t="s">
        <v>1674</v>
      </c>
      <c r="D290" s="505">
        <v>20000</v>
      </c>
      <c r="E290" s="63" t="s">
        <v>2452</v>
      </c>
    </row>
    <row r="291" spans="1:5" s="63" customFormat="1" ht="16">
      <c r="B291" s="63" t="s">
        <v>2440</v>
      </c>
      <c r="D291" s="505">
        <v>-12000</v>
      </c>
      <c r="E291" s="63" t="s">
        <v>2453</v>
      </c>
    </row>
    <row r="292" spans="1:5" s="63" customFormat="1" ht="16">
      <c r="B292" s="63" t="s">
        <v>1709</v>
      </c>
      <c r="D292" s="505">
        <v>-18000</v>
      </c>
      <c r="E292" s="63" t="s">
        <v>2454</v>
      </c>
    </row>
    <row r="293" spans="1:5" s="63" customFormat="1" ht="16">
      <c r="B293" s="63" t="s">
        <v>1758</v>
      </c>
      <c r="D293" s="505">
        <v>-19000</v>
      </c>
      <c r="E293" s="63" t="s">
        <v>2455</v>
      </c>
    </row>
    <row r="294" spans="1:5" s="63" customFormat="1" ht="16">
      <c r="B294" s="63" t="s">
        <v>2441</v>
      </c>
      <c r="D294" s="505">
        <v>24000</v>
      </c>
      <c r="E294" s="63" t="s">
        <v>2456</v>
      </c>
    </row>
    <row r="295" spans="1:5" s="63" customFormat="1" ht="17" thickBot="1"/>
    <row r="296" spans="1:5" s="63" customFormat="1" ht="17" thickBot="1">
      <c r="B296" s="5" t="s">
        <v>2462</v>
      </c>
      <c r="C296" s="5"/>
      <c r="D296" s="762">
        <f>SUM(D278:D294)</f>
        <v>648000</v>
      </c>
      <c r="E296" s="5" t="s">
        <v>2463</v>
      </c>
    </row>
    <row r="297" spans="1:5" s="63" customFormat="1" ht="16">
      <c r="B297" s="5"/>
      <c r="C297" s="5"/>
      <c r="D297" s="5"/>
      <c r="E297" s="5"/>
    </row>
    <row r="298" spans="1:5" s="63" customFormat="1" ht="16"/>
    <row r="299" spans="1:5" s="63" customFormat="1" ht="16">
      <c r="A299" s="63" t="s">
        <v>2461</v>
      </c>
    </row>
    <row r="300" spans="1:5" s="63" customFormat="1" ht="16">
      <c r="B300" s="63" t="s">
        <v>2442</v>
      </c>
      <c r="D300" s="505">
        <v>15000</v>
      </c>
      <c r="E300" s="63" t="s">
        <v>2457</v>
      </c>
    </row>
    <row r="301" spans="1:5" s="63" customFormat="1" ht="16">
      <c r="B301" s="63" t="s">
        <v>2443</v>
      </c>
      <c r="D301" s="505">
        <v>25000</v>
      </c>
      <c r="E301" s="63" t="s">
        <v>2458</v>
      </c>
    </row>
    <row r="302" spans="1:5" s="63" customFormat="1" ht="16">
      <c r="B302" s="63" t="s">
        <v>2444</v>
      </c>
      <c r="D302" s="505">
        <v>5000</v>
      </c>
      <c r="E302" s="63" t="s">
        <v>2459</v>
      </c>
    </row>
    <row r="303" spans="1:5" s="63" customFormat="1" ht="16">
      <c r="B303" s="63" t="s">
        <v>2445</v>
      </c>
      <c r="D303" s="505">
        <v>10000</v>
      </c>
      <c r="E303" s="63" t="s">
        <v>2460</v>
      </c>
    </row>
    <row r="304" spans="1:5" s="63" customFormat="1" ht="16"/>
    <row r="305" s="63" customFormat="1" ht="16"/>
    <row r="306" s="63" customFormat="1" ht="16"/>
    <row r="307" s="63" customFormat="1" ht="16"/>
    <row r="308" s="63" customFormat="1" ht="16"/>
    <row r="309" s="63" customFormat="1" ht="16"/>
    <row r="310" s="63" customFormat="1" ht="16"/>
    <row r="311" s="63" customFormat="1" ht="16"/>
    <row r="312" s="63" customFormat="1" ht="16"/>
    <row r="313" s="63" customFormat="1" ht="16"/>
    <row r="314" s="63" customFormat="1" ht="16"/>
    <row r="315" s="63" customFormat="1" ht="16"/>
    <row r="316" s="63" customFormat="1" ht="16"/>
    <row r="317" s="63" customFormat="1" ht="16"/>
    <row r="318" s="63" customFormat="1" ht="16"/>
    <row r="319" s="63" customFormat="1" ht="16"/>
    <row r="320" s="63" customFormat="1" ht="16"/>
    <row r="321" s="63" customFormat="1" ht="16"/>
    <row r="322" s="63" customFormat="1" ht="16"/>
    <row r="323" s="63" customFormat="1" ht="16"/>
    <row r="324" s="63" customFormat="1" ht="16"/>
    <row r="325" s="63" customFormat="1" ht="16"/>
    <row r="326" s="63" customFormat="1" ht="16"/>
    <row r="327" s="63" customFormat="1" ht="16"/>
    <row r="328" s="63" customFormat="1" ht="16"/>
    <row r="329" s="63" customFormat="1" ht="16"/>
    <row r="330" s="63" customFormat="1" ht="16"/>
    <row r="331" s="63" customFormat="1" ht="16"/>
    <row r="332" s="63" customFormat="1" ht="16"/>
    <row r="333" s="63" customFormat="1" ht="16"/>
    <row r="334" s="63" customFormat="1" ht="16"/>
    <row r="335" s="63" customFormat="1" ht="16"/>
    <row r="336" s="63" customFormat="1" ht="16"/>
    <row r="337"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H141"/>
  <sheetViews>
    <sheetView rightToLeft="1" topLeftCell="A326" zoomScaleNormal="100" workbookViewId="0">
      <selection activeCell="A142" sqref="A142:XFD305"/>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4" t="s">
        <v>2064</v>
      </c>
      <c r="B1" s="503"/>
      <c r="C1" s="503"/>
      <c r="D1" s="503"/>
      <c r="E1" s="503"/>
      <c r="F1" s="503"/>
      <c r="G1" s="503"/>
      <c r="H1" s="503"/>
    </row>
    <row r="141" spans="8:8">
      <c r="H141"/>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H260"/>
  <sheetViews>
    <sheetView rightToLeft="1" zoomScale="130" zoomScaleNormal="130" workbookViewId="0">
      <selection activeCell="A13" sqref="A13:XFD244"/>
    </sheetView>
  </sheetViews>
  <sheetFormatPr baseColWidth="10" defaultRowHeight="13"/>
  <cols>
    <col min="1" max="1" width="10.83203125" style="3"/>
    <col min="2" max="2" width="12" style="3" customWidth="1"/>
    <col min="3" max="16384" width="10.83203125" style="3"/>
  </cols>
  <sheetData>
    <row r="1" spans="1:8">
      <c r="A1" s="464" t="s">
        <v>1677</v>
      </c>
      <c r="B1" s="568"/>
      <c r="C1" s="568"/>
      <c r="D1" s="568"/>
      <c r="E1" s="568"/>
      <c r="F1" s="568"/>
      <c r="G1" s="568"/>
      <c r="H1" s="568" t="s">
        <v>1785</v>
      </c>
    </row>
    <row r="2" spans="1:8" ht="14" thickBot="1"/>
    <row r="3" spans="1:8">
      <c r="A3" s="569" t="s">
        <v>942</v>
      </c>
      <c r="B3" s="570"/>
      <c r="C3" s="570"/>
      <c r="D3" s="570"/>
      <c r="E3" s="570"/>
      <c r="F3" s="570"/>
      <c r="G3" s="570"/>
      <c r="H3" s="453"/>
    </row>
    <row r="4" spans="1:8">
      <c r="A4" s="454" t="s">
        <v>1678</v>
      </c>
      <c r="H4" s="571"/>
    </row>
    <row r="5" spans="1:8">
      <c r="A5" s="454" t="s">
        <v>1679</v>
      </c>
      <c r="H5" s="571"/>
    </row>
    <row r="6" spans="1:8">
      <c r="A6" s="454" t="s">
        <v>1681</v>
      </c>
      <c r="H6" s="571"/>
    </row>
    <row r="7" spans="1:8">
      <c r="A7" s="454" t="s">
        <v>1680</v>
      </c>
      <c r="H7" s="571"/>
    </row>
    <row r="8" spans="1:8">
      <c r="A8" s="454" t="s">
        <v>1682</v>
      </c>
      <c r="H8" s="571"/>
    </row>
    <row r="9" spans="1:8">
      <c r="A9" s="454" t="s">
        <v>1683</v>
      </c>
      <c r="H9" s="571"/>
    </row>
    <row r="10" spans="1:8">
      <c r="A10" s="454" t="s">
        <v>1684</v>
      </c>
      <c r="H10" s="571"/>
    </row>
    <row r="11" spans="1:8" ht="14" thickBot="1">
      <c r="A11" s="457" t="s">
        <v>1685</v>
      </c>
      <c r="B11" s="458"/>
      <c r="C11" s="458"/>
      <c r="D11" s="458"/>
      <c r="E11" s="458"/>
      <c r="F11" s="458"/>
      <c r="G11" s="458"/>
      <c r="H11" s="572"/>
    </row>
    <row r="249" spans="1:7">
      <c r="A249" s="3" t="s">
        <v>1767</v>
      </c>
    </row>
    <row r="250" spans="1:7">
      <c r="A250" s="3" t="s">
        <v>1768</v>
      </c>
    </row>
    <row r="252" spans="1:7">
      <c r="A252" s="3" t="s">
        <v>1769</v>
      </c>
    </row>
    <row r="254" spans="1:7">
      <c r="A254" s="3" t="s">
        <v>1126</v>
      </c>
      <c r="B254" s="3" t="s">
        <v>1783</v>
      </c>
      <c r="C254" s="3" t="s">
        <v>1770</v>
      </c>
      <c r="E254" s="3" t="s">
        <v>1771</v>
      </c>
      <c r="G254" s="3" t="s">
        <v>1774</v>
      </c>
    </row>
    <row r="255" spans="1:7">
      <c r="A255" s="585">
        <v>45432</v>
      </c>
      <c r="B255" s="3">
        <v>8</v>
      </c>
      <c r="C255" s="3" t="s">
        <v>1778</v>
      </c>
      <c r="E255" s="3" t="s">
        <v>1772</v>
      </c>
      <c r="G255" s="3" t="s">
        <v>1775</v>
      </c>
    </row>
    <row r="256" spans="1:7">
      <c r="A256" s="585">
        <v>45439</v>
      </c>
      <c r="B256" s="3">
        <v>9</v>
      </c>
      <c r="C256" s="3" t="s">
        <v>1773</v>
      </c>
      <c r="E256" s="3" t="s">
        <v>1777</v>
      </c>
      <c r="G256" s="3" t="s">
        <v>1776</v>
      </c>
    </row>
    <row r="257" spans="1:7">
      <c r="A257" s="585">
        <v>45446</v>
      </c>
      <c r="B257" s="3">
        <v>10</v>
      </c>
      <c r="C257" s="3" t="s">
        <v>1779</v>
      </c>
      <c r="E257" s="3" t="s">
        <v>1781</v>
      </c>
      <c r="G257" s="3" t="s">
        <v>1775</v>
      </c>
    </row>
    <row r="258" spans="1:7">
      <c r="A258" s="585">
        <v>45453</v>
      </c>
      <c r="B258" s="3">
        <v>11</v>
      </c>
      <c r="C258" s="3" t="s">
        <v>1780</v>
      </c>
      <c r="E258" s="3" t="s">
        <v>1782</v>
      </c>
      <c r="G258" s="3" t="s">
        <v>1775</v>
      </c>
    </row>
    <row r="260" spans="1:7">
      <c r="A260" s="3" t="s">
        <v>1784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1</vt:lpstr>
      <vt:lpstr>2</vt:lpstr>
      <vt:lpstr>2ב</vt:lpstr>
      <vt:lpstr>3</vt:lpstr>
      <vt:lpstr>4</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2025-05-08T16:41:30Z</dcterms:modified>
</cp:coreProperties>
</file>